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basm\Desktop\"/>
    </mc:Choice>
  </mc:AlternateContent>
  <xr:revisionPtr revIDLastSave="0" documentId="8_{DA1A9251-83F4-4F65-A8E4-1EA076328EC3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1" l="1"/>
  <c r="V29" i="1"/>
  <c r="P23" i="1"/>
  <c r="G20" i="1"/>
  <c r="AW42" i="1"/>
  <c r="AD41" i="1"/>
  <c r="CC39" i="1" s="1"/>
  <c r="CC52" i="1" s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G32" i="1"/>
  <c r="E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N31" i="1"/>
  <c r="AB30" i="1"/>
  <c r="M32" i="1"/>
  <c r="J32" i="1"/>
  <c r="D32" i="1"/>
  <c r="AD29" i="1"/>
  <c r="CC27" i="1" s="1"/>
  <c r="Y29" i="1"/>
  <c r="S29" i="1"/>
  <c r="P29" i="1"/>
  <c r="E29" i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J29" i="1"/>
  <c r="I27" i="1"/>
  <c r="G29" i="1" s="1"/>
  <c r="F27" i="1"/>
  <c r="AD26" i="1"/>
  <c r="CC24" i="1" s="1"/>
  <c r="CC47" i="1" s="1"/>
  <c r="Y26" i="1"/>
  <c r="V26" i="1"/>
  <c r="S26" i="1"/>
  <c r="P26" i="1"/>
  <c r="M26" i="1"/>
  <c r="E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AB24" i="1"/>
  <c r="I24" i="1"/>
  <c r="G26" i="1" s="1"/>
  <c r="F24" i="1"/>
  <c r="AD23" i="1"/>
  <c r="CC21" i="1" s="1"/>
  <c r="CC46" i="1" s="1"/>
  <c r="Y23" i="1"/>
  <c r="V23" i="1"/>
  <c r="S23" i="1"/>
  <c r="M23" i="1"/>
  <c r="J23" i="1"/>
  <c r="E23" i="1"/>
  <c r="BY21" i="1" s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AB21" i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CK11" i="1" s="1"/>
  <c r="BN24" i="1" l="1"/>
  <c r="BN47" i="1" s="1"/>
  <c r="BN39" i="1"/>
  <c r="BN52" i="1" s="1"/>
  <c r="BP27" i="1"/>
  <c r="BP48" i="1" s="1"/>
  <c r="BO21" i="1"/>
  <c r="BO46" i="1" s="1"/>
  <c r="BQ30" i="1"/>
  <c r="BQ49" i="1" s="1"/>
  <c r="H19" i="1"/>
  <c r="R28" i="1"/>
  <c r="AZ29" i="1" s="1"/>
  <c r="AY26" i="1"/>
  <c r="BX27" i="1"/>
  <c r="BX48" i="1" s="1"/>
  <c r="BQ27" i="1"/>
  <c r="BQ48" i="1" s="1"/>
  <c r="BX36" i="1"/>
  <c r="BX51" i="1" s="1"/>
  <c r="BW30" i="1"/>
  <c r="BW49" i="1" s="1"/>
  <c r="D37" i="1"/>
  <c r="AW38" i="1" s="1"/>
  <c r="L40" i="1"/>
  <c r="N22" i="1"/>
  <c r="AY23" i="1" s="1"/>
  <c r="X22" i="1"/>
  <c r="BW24" i="1"/>
  <c r="BW47" i="1" s="1"/>
  <c r="L31" i="1"/>
  <c r="BR33" i="1"/>
  <c r="BR50" i="1" s="1"/>
  <c r="P37" i="1"/>
  <c r="BA38" i="1" s="1"/>
  <c r="D40" i="1"/>
  <c r="AW41" i="1" s="1"/>
  <c r="AY41" i="1"/>
  <c r="Y31" i="1"/>
  <c r="R40" i="1"/>
  <c r="BA41" i="1" s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BC29" i="1" s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AW20" i="1"/>
  <c r="BP21" i="1"/>
  <c r="BP46" i="1" s="1"/>
  <c r="BW21" i="1"/>
  <c r="BW46" i="1" s="1"/>
  <c r="BT30" i="1"/>
  <c r="BT49" i="1" s="1"/>
  <c r="BM36" i="1"/>
  <c r="BM51" i="1" s="1"/>
  <c r="BU36" i="1"/>
  <c r="BU51" i="1" s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AZ35" i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E22" i="1"/>
  <c r="Y22" i="1"/>
  <c r="BC23" i="1" s="1"/>
  <c r="T25" i="1"/>
  <c r="BA26" i="1" s="1"/>
  <c r="AJ25" i="1"/>
  <c r="BX24" i="1"/>
  <c r="BX47" i="1" s="1"/>
  <c r="T28" i="1"/>
  <c r="BA29" i="1" s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BM30" i="1"/>
  <c r="BM49" i="1" s="1"/>
  <c r="BU30" i="1"/>
  <c r="BU49" i="1" s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BV27" i="1"/>
  <c r="BV48" i="1" s="1"/>
  <c r="BP30" i="1"/>
  <c r="BP49" i="1" s="1"/>
  <c r="BX30" i="1"/>
  <c r="BX49" i="1" s="1"/>
  <c r="BU33" i="1"/>
  <c r="AD36" i="1"/>
  <c r="AC37" i="1" s="1"/>
  <c r="BL36" i="1"/>
  <c r="BL51" i="1" s="1"/>
  <c r="BP36" i="1"/>
  <c r="BP51" i="1" s="1"/>
  <c r="BT36" i="1"/>
  <c r="BT51" i="1" s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A40" i="1"/>
  <c r="BK52" i="1"/>
  <c r="BH39" i="1"/>
  <c r="Z17" i="1"/>
  <c r="BO24" i="1"/>
  <c r="BO47" i="1" s="1"/>
  <c r="D26" i="1"/>
  <c r="I28" i="1"/>
  <c r="H28" i="1"/>
  <c r="X28" i="1"/>
  <c r="V28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C50" i="1"/>
  <c r="DI34" i="1"/>
  <c r="BK50" i="1"/>
  <c r="A34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X33" i="1"/>
  <c r="BT33" i="1"/>
  <c r="BP33" i="1"/>
  <c r="BL33" i="1"/>
  <c r="BW33" i="1"/>
  <c r="BS33" i="1"/>
  <c r="BO33" i="1"/>
  <c r="BO50" i="1" s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BW39" i="1"/>
  <c r="BS39" i="1"/>
  <c r="BO39" i="1"/>
  <c r="BO52" i="1" s="1"/>
  <c r="BY39" i="1"/>
  <c r="BU39" i="1"/>
  <c r="BQ39" i="1"/>
  <c r="BM39" i="1"/>
  <c r="CM33" i="1" l="1"/>
  <c r="CI33" i="1"/>
  <c r="CA33" i="1" s="1"/>
  <c r="CA18" i="1"/>
  <c r="CA45" i="1" s="1"/>
  <c r="CK21" i="1"/>
  <c r="CM30" i="1"/>
  <c r="AW29" i="1"/>
  <c r="CI30" i="1"/>
  <c r="BZ30" i="1"/>
  <c r="BZ49" i="1" s="1"/>
  <c r="CO30" i="1"/>
  <c r="BY51" i="1"/>
  <c r="BF36" i="1"/>
  <c r="AW36" i="1" s="1"/>
  <c r="CO21" i="1"/>
  <c r="CO24" i="1"/>
  <c r="AW26" i="1"/>
  <c r="AW23" i="1"/>
  <c r="BY47" i="1"/>
  <c r="CQ30" i="1"/>
  <c r="BU50" i="1"/>
  <c r="BZ36" i="1"/>
  <c r="DF37" i="1" s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BM48" i="1"/>
  <c r="CG27" i="1"/>
  <c r="BZ27" i="1"/>
  <c r="BS48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BL50" i="1"/>
  <c r="CF33" i="1"/>
  <c r="BR52" i="1"/>
  <c r="BM50" i="1"/>
  <c r="CG33" i="1"/>
  <c r="BZ33" i="1"/>
  <c r="AX32" i="1"/>
  <c r="BR48" i="1"/>
  <c r="BP47" i="1"/>
  <c r="BQ46" i="1"/>
  <c r="CI21" i="1"/>
  <c r="CF39" i="1"/>
  <c r="AC25" i="1"/>
  <c r="CF27" i="1"/>
  <c r="BC20" i="1"/>
  <c r="BY52" i="1"/>
  <c r="CQ39" i="1"/>
  <c r="BS49" i="1"/>
  <c r="CK30" i="1"/>
  <c r="BV50" i="1"/>
  <c r="BS50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BE36" i="1" l="1"/>
  <c r="BZ51" i="1"/>
  <c r="DG19" i="1"/>
  <c r="CA21" i="1"/>
  <c r="CA46" i="1" s="1"/>
  <c r="CA27" i="1"/>
  <c r="DG28" i="1" s="1"/>
  <c r="CA30" i="1"/>
  <c r="DG31" i="1" s="1"/>
  <c r="CA24" i="1"/>
  <c r="CA47" i="1" s="1"/>
  <c r="DF31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DF34" i="1"/>
  <c r="BZ50" i="1"/>
  <c r="CA48" i="1" l="1"/>
  <c r="DG22" i="1"/>
  <c r="CA49" i="1"/>
  <c r="DG25" i="1"/>
  <c r="CF14" i="1"/>
  <c r="DD18" i="1"/>
  <c r="CB18" i="1" s="1"/>
  <c r="DH19" i="1" s="1"/>
  <c r="DD30" i="1"/>
  <c r="CB30" i="1" s="1"/>
  <c r="BF30" i="1" s="1"/>
  <c r="DD39" i="1"/>
  <c r="CB39" i="1" s="1"/>
  <c r="DD33" i="1"/>
  <c r="CB33" i="1" s="1"/>
  <c r="DD24" i="1"/>
  <c r="CB24" i="1" s="1"/>
  <c r="DD21" i="1"/>
  <c r="CB21" i="1" s="1"/>
  <c r="DD36" i="1"/>
  <c r="CB36" i="1" s="1"/>
  <c r="DD27" i="1"/>
  <c r="CB27" i="1" s="1"/>
  <c r="AW30" i="1" l="1"/>
  <c r="AB20" i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BF24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BE30" i="1" l="1"/>
  <c r="AW18" i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<sst xmlns="http://schemas.openxmlformats.org/spreadsheetml/2006/main" count="272" uniqueCount="190">
  <si>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</si>
  <si>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</si>
  <si>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</si>
  <si>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</si>
  <si>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</si>
  <si>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</si>
  <si>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</si>
  <si>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</si>
  <si>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</si>
  <si>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</si>
  <si>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</si>
  <si>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</si>
  <si>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>N3</t>
  </si>
  <si>
    <t xml:space="preserve">   Moyenne : </t>
  </si>
  <si>
    <t xml:space="preserve">   Distance :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</si>
  <si>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</si>
  <si>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</si>
  <si>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</si>
  <si>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</si>
  <si>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</si>
  <si>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</si>
  <si>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</si>
  <si>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</si>
  <si>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</si>
  <si>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</si>
  <si>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</si>
  <si>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</si>
  <si>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</si>
  <si>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</si>
  <si>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</si>
  <si>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</si>
  <si>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</si>
  <si>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</si>
  <si>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</si>
  <si>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</si>
  <si>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</si>
  <si>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</si>
  <si>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</si>
  <si>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</si>
  <si>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</si>
  <si>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</si>
  <si>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</si>
  <si>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</si>
  <si>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</si>
  <si>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</si>
  <si>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</si>
  <si>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</si>
  <si>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</si>
  <si>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</si>
  <si>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</si>
  <si>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</si>
  <si>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</si>
  <si>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</si>
  <si>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</si>
  <si>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</si>
  <si>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</si>
  <si>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</si>
  <si>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</si>
  <si>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</si>
  <si>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</si>
  <si>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</si>
  <si>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</si>
  <si>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</si>
  <si>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</si>
  <si>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</si>
  <si>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</si>
  <si>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</si>
  <si>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</si>
  <si>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</si>
  <si>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</si>
  <si>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</si>
  <si>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</si>
  <si>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</si>
  <si>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</si>
  <si>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</si>
  <si>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</si>
  <si>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</si>
  <si>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</si>
  <si>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</si>
  <si>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</si>
  <si>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</si>
  <si>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</si>
  <si>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</si>
  <si>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</si>
  <si>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</si>
  <si>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</si>
  <si>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</si>
  <si>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</si>
  <si>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</si>
  <si>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</si>
  <si>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</si>
  <si>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</si>
  <si>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</si>
  <si>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</si>
  <si>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</si>
  <si>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</si>
  <si>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</si>
  <si>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</si>
  <si>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</si>
  <si>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</si>
  <si>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</si>
  <si>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</si>
  <si>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</si>
  <si>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</si>
  <si>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</si>
  <si>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</si>
  <si>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</si>
  <si>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</si>
  <si>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</si>
  <si>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</si>
  <si>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</si>
  <si>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</si>
  <si>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</si>
  <si>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</si>
  <si>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</si>
  <si>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</si>
  <si>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</si>
  <si>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</si>
  <si>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</si>
  <si>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</si>
  <si>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</si>
  <si>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</si>
  <si>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</si>
  <si>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</si>
  <si>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</si>
  <si>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</si>
  <si>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</si>
  <si>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</si>
  <si>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</si>
  <si>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</si>
  <si>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</si>
  <si>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</si>
  <si>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</si>
  <si>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</si>
  <si>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</si>
  <si>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</si>
  <si>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</si>
  <si>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</si>
  <si>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</si>
  <si>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</si>
  <si>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</si>
  <si>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</si>
  <si>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</si>
  <si>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</si>
  <si>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</si>
  <si>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</si>
  <si>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</si>
  <si>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</si>
  <si>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</si>
  <si>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</si>
  <si>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</si>
  <si>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</si>
  <si>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</si>
  <si>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</si>
  <si>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</si>
  <si>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</si>
  <si>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</si>
  <si>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</si>
  <si>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</si>
  <si>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</si>
  <si>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</si>
  <si>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</si>
  <si>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</si>
  <si>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</si>
  <si>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</si>
  <si>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</si>
  <si>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</si>
  <si>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</si>
  <si>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</si>
  <si>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</si>
  <si>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</si>
  <si>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</si>
  <si>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</si>
  <si>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</si>
  <si>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>Convocation  Dimanche 20/03/2022 8h30</t>
  </si>
  <si>
    <t>Tournoi FINALE 3 BANDES N3</t>
  </si>
  <si>
    <t>3 BANDES</t>
  </si>
  <si>
    <t xml:space="preserve">50 reprises </t>
  </si>
  <si>
    <t>BEAUCHER</t>
  </si>
  <si>
    <t>ALAIN</t>
  </si>
  <si>
    <t>GOUVEIA</t>
  </si>
  <si>
    <t>VICTOR</t>
  </si>
  <si>
    <t>DELAPLACE</t>
  </si>
  <si>
    <t>EMMANUEL</t>
  </si>
  <si>
    <t>RIEGEL</t>
  </si>
  <si>
    <t>SERGE</t>
  </si>
  <si>
    <t>HELLAL</t>
  </si>
  <si>
    <t>DENIS</t>
  </si>
  <si>
    <t>LIVRY</t>
  </si>
  <si>
    <t>ABASM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</si>
</sst>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Garamond"/>
    </font>
    <font>
      <sz val="10"/>
      <color theme="1"/>
      <name val="Open Sans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8"/>
      <color theme="1"/>
      <name val="Garamond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Book Antiqua"/>
    </font>
    <font>
      <sz val="13"/>
      <color theme="1"/>
      <name val="Open Sans"/>
    </font>
    <font>
      <sz val="10"/>
      <color rgb="FFFF0000"/>
      <name val="Open Sans"/>
    </font>
    <font>
      <sz val="8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20"/>
      <color theme="1"/>
      <name val="Book Antiqua"/>
    </font>
    <font>
      <sz val="24"/>
      <color theme="1"/>
      <name val="Book Antiqua"/>
    </font>
    <font>
      <sz val="10"/>
      <color rgb="FFC0C0C0"/>
      <name val="Open Sans"/>
    </font>
    <font>
      <sz val="12"/>
      <color theme="1"/>
      <name val="Book Antiqua"/>
    </font>
    <font>
      <sz val="10"/>
      <name val="Arial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28" fillId="0" borderId="7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right"/>
      <protection locked="0"/>
    </xf>
    <xf numFmtId="0" fontId="31" fillId="0" borderId="7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78" xfId="0" applyFont="1" applyBorder="1" applyAlignment="1" applyProtection="1">
      <alignment horizontal="right"/>
      <protection locked="0"/>
    </xf>
    <xf numFmtId="0" fontId="12" fillId="0" borderId="78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31" fillId="0" borderId="6" xfId="0" applyFont="1" applyBorder="1" applyAlignment="1" applyProtection="1">
      <alignment horizontal="right"/>
      <protection locked="0"/>
    </xf>
    <xf numFmtId="0" fontId="28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left"/>
      <protection locked="0"/>
    </xf>
    <xf numFmtId="0" fontId="30" fillId="8" borderId="77" xfId="0" applyFont="1" applyFill="1" applyBorder="1" applyAlignment="1">
      <alignment horizontal="center"/>
    </xf>
    <xf numFmtId="0" fontId="33" fillId="9" borderId="77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8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8" xfId="0" applyFont="1" applyBorder="1"/>
    <xf numFmtId="0" fontId="16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165" fontId="14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14" fillId="0" borderId="38" xfId="0" applyNumberFormat="1" applyFont="1" applyBorder="1" applyAlignment="1">
      <alignment horizontal="center"/>
    </xf>
    <xf numFmtId="0" fontId="8" fillId="0" borderId="40" xfId="0" applyFont="1" applyBorder="1"/>
    <xf numFmtId="0" fontId="6" fillId="0" borderId="38" xfId="0" applyFont="1" applyBorder="1" applyAlignment="1">
      <alignment horizontal="center"/>
    </xf>
    <xf numFmtId="0" fontId="8" fillId="0" borderId="39" xfId="0" applyFont="1" applyBorder="1"/>
    <xf numFmtId="0" fontId="5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4" xfId="0" applyFont="1" applyBorder="1"/>
    <xf numFmtId="0" fontId="6" fillId="0" borderId="32" xfId="0" applyFont="1" applyBorder="1" applyAlignment="1">
      <alignment horizontal="center" vertical="center"/>
    </xf>
    <xf numFmtId="0" fontId="8" fillId="0" borderId="32" xfId="0" applyFont="1" applyBorder="1"/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1" fontId="36" fillId="0" borderId="38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0" fontId="8" fillId="0" borderId="48" xfId="0" applyFont="1" applyBorder="1"/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5" xfId="0" applyFont="1" applyBorder="1"/>
    <xf numFmtId="0" fontId="0" fillId="0" borderId="0" xfId="0" applyFont="1" applyAlignment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70" xfId="0" applyFont="1" applyBorder="1"/>
    <xf numFmtId="165" fontId="14" fillId="0" borderId="47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1" fillId="0" borderId="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LIVRY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540448</xdr:colOff>
      <xdr:row>14</xdr:row>
      <xdr:rowOff>176440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8272723" y="3776890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283191</xdr:colOff>
      <xdr:row>10</xdr:row>
      <xdr:rowOff>198551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68015466" y="2884601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705100" y="15430500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554842</xdr:colOff>
      <xdr:row>13</xdr:row>
      <xdr:rowOff>223833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68972917" y="3595683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620209</xdr:colOff>
      <xdr:row>8</xdr:row>
      <xdr:rowOff>76321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30817" y="2285156"/>
          <a:ext cx="838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644926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855534" y="144442"/>
          <a:ext cx="809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121534</xdr:colOff>
      <xdr:row>4</xdr:row>
      <xdr:rowOff>376177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647306" y="1408253"/>
          <a:ext cx="8382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570053</xdr:colOff>
      <xdr:row>4</xdr:row>
      <xdr:rowOff>404028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80661" y="1436104"/>
          <a:ext cx="828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topLeftCell="A32" zoomScale="80" zoomScaleNormal="80" workbookViewId="0">
      <selection activeCell="AR45" sqref="AR45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6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hidden="1" customWidth="1" outlineLevel="2"/>
    <col min="32" max="32" width="2.88671875" hidden="1" customWidth="1" outlineLevel="2"/>
    <col min="33" max="35" width="2.6640625" hidden="1" customWidth="1" outlineLevel="2"/>
    <col min="36" max="42" width="5.6640625" hidden="1" customWidth="1" outlineLevel="2"/>
    <col min="43" max="43" width="11.109375" customWidth="1" outlineLevel="1" collapsed="1"/>
    <col min="44" max="44" width="10.33203125" customWidth="1" outlineLevel="1"/>
    <col min="45" max="47" width="5.6640625" customWidth="1" outlineLevel="1"/>
    <col min="48" max="48" width="11.44140625" customWidth="1" outlineLevel="1"/>
    <col min="49" max="53" width="5.6640625" customWidth="1" outlineLevel="1"/>
    <col min="54" max="54" width="8" customWidth="1" outlineLevel="1"/>
    <col min="55" max="55" width="7" customWidth="1" outlineLevel="1"/>
    <col min="56" max="56" width="5.6640625" customWidth="1" outlineLevel="1"/>
    <col min="57" max="57" width="7.5546875" customWidth="1" outlineLevel="1"/>
    <col min="58" max="58" width="16.109375" customWidth="1" outlineLevel="1"/>
    <col min="59" max="59" width="11" customWidth="1" outlineLevel="1"/>
    <col min="60" max="60" width="14.44140625" customWidth="1" outlineLevel="2"/>
    <col min="61" max="63" width="11.44140625" customWidth="1" outlineLevel="2"/>
    <col min="64" max="77" width="4.88671875" customWidth="1" outlineLevel="2"/>
    <col min="78" max="81" width="7.88671875" customWidth="1" outlineLevel="2"/>
    <col min="82" max="117" width="11.44140625" customWidth="1" outlineLevel="2"/>
    <col min="118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6 à 12,49</v>
      </c>
      <c r="AM3" s="35" t="str">
        <f>IF(AM9&lt;&gt;"",AM9,IF(O6="R2","0 à 0.99",IF(O6="R1","1 à 1,74",IF(OR(O6="N3",O6="Nat 3",O6="Nationale 3"),"1,75 à 2,57",IF(OR(O6="N1",O6="Nat 1",O6="Nationale 1"),"2,30 à 4,99","")))))</f>
        <v>1,75 à 2,57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0,360 à 0,522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>3,50 à 6,24</v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349" t="s">
        <v>174</v>
      </c>
      <c r="V4" s="350"/>
      <c r="W4" s="350"/>
      <c r="X4" s="350"/>
      <c r="Y4" s="350"/>
      <c r="Z4" s="350"/>
      <c r="AA4" s="350"/>
      <c r="AB4" s="350"/>
      <c r="AC4" s="351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200</v>
      </c>
      <c r="AM4" s="41">
        <f>IF(AM8&lt;&gt;"",AM8,IF(O6="R2",40,IF(O6="R1",60,IF(OR(O6="N3",O6="Nat 3",O6="Nationale 3"),80,IF(OR(O6="N1",O6="Nat 1",O6="Nationale 1"),100,"")))))</f>
        <v>80</v>
      </c>
      <c r="AN4" s="42">
        <f>IF(AN8&lt;&gt;"",AN8,IF(O6="Feminines",20,IF(O6="R2",15,IF(O6="R1",20,IF(O6="N3",25,IF(OR(O6="N2",O6="Nat 2",O6="Nationale 2"),30,IF(OR(O6="N1",O6="Nat 1",O6="Nationale 1"),35,"")))))))</f>
        <v>25</v>
      </c>
      <c r="AO4" s="34">
        <f>IF(AO8&lt;&gt;"",AO8,IF(O6="Dep","80",IF(O6="R1",80,IF(O6="N3",120,IF(OR(O6="N2",O6="Nat 2",O6="Nationale 2"),120,IF(OR(O6="N1",O6="Nat 1",O6="Nationale 1"),200,""))))))</f>
        <v>120</v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175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150</v>
      </c>
      <c r="AM5" s="41" t="str">
        <f>IF(O6="dep","",IF(O6="R1","50",IF(O6="N3","60",IF(O6="N1","80",""))))</f>
        <v>60</v>
      </c>
      <c r="AN5" s="47" t="str">
        <f>IF(O6="Feminines","15",IF(O6="dep","10",IF(O6="R1","15",IF(O6="N3","20",IF(O6="N2","25","")))))</f>
        <v>20</v>
      </c>
      <c r="AO5" s="47" t="str">
        <f>IF(O6="Dep",60,IF(O6="R1,","60",IF(O6="N3","100","")))</f>
        <v>100</v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352" t="s">
        <v>10</v>
      </c>
      <c r="F6" s="353"/>
      <c r="G6" s="353"/>
      <c r="H6" s="51" t="s">
        <v>176</v>
      </c>
      <c r="I6" s="51"/>
      <c r="J6" s="51"/>
      <c r="K6" s="52"/>
      <c r="L6" s="354" t="s">
        <v>11</v>
      </c>
      <c r="M6" s="353"/>
      <c r="N6" s="353"/>
      <c r="O6" s="51" t="s">
        <v>12</v>
      </c>
      <c r="P6" s="52"/>
      <c r="Q6" s="52"/>
      <c r="R6" s="52"/>
      <c r="S6" s="354" t="s">
        <v>13</v>
      </c>
      <c r="T6" s="353"/>
      <c r="U6" s="353"/>
      <c r="V6" s="53" t="str">
        <f>IF(H6="LIBRE",AL3,IF(H6="BANDE",AM3,IF(H6="3 BANDES",AN3,IF(H6="CADRE",AO3,""))))</f>
        <v>0,360 à 0,522</v>
      </c>
      <c r="W6" s="53"/>
      <c r="X6" s="53"/>
      <c r="Y6" s="354" t="s">
        <v>14</v>
      </c>
      <c r="Z6" s="353"/>
      <c r="AA6" s="353"/>
      <c r="AB6" s="54">
        <f>IF(H6="LIBRE",AL4,IF(H6="BANDE",AM4,IF(H6="3 BANDES",AN4,IF(H6="CADRE",AO4,""))))</f>
        <v>25</v>
      </c>
      <c r="AC6" s="55" t="s">
        <v>177</v>
      </c>
      <c r="AD6" s="56"/>
      <c r="AE6" s="32"/>
      <c r="AF6" s="32"/>
      <c r="AG6" s="32"/>
      <c r="AH6" s="32"/>
      <c r="AI6" s="32"/>
      <c r="AJ6" s="33"/>
      <c r="AK6" s="40" t="s">
        <v>15</v>
      </c>
      <c r="AL6" s="41" t="str">
        <f>IF(O6="R4","50 rep",IF(O6="R3","45",IF(O6="R2","35",IF(O6="R1","30",IF(O6="N3","20","")))))</f>
        <v>20</v>
      </c>
      <c r="AM6" s="57" t="str">
        <f>IF(O6="dep","40",IF(O6="R1","35",IF(O6="N3","35","")))</f>
        <v>35</v>
      </c>
      <c r="AN6" s="34" t="str">
        <f>IF(O6="Feminines","60",IF(O6="dep","60",IF(O6="R1","60",IF(O6="N3","60",""))))</f>
        <v>60</v>
      </c>
      <c r="AO6" s="34" t="str">
        <f>IF(O6="Dep","40",IF(O6="R1","40",IF(O6="N3","25","")))</f>
        <v>25</v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16</v>
      </c>
      <c r="C8" s="64"/>
      <c r="D8" s="65"/>
      <c r="E8" s="66"/>
      <c r="F8" s="66" t="s">
        <v>17</v>
      </c>
      <c r="G8" s="67"/>
      <c r="H8" s="67"/>
      <c r="I8" s="67"/>
      <c r="J8" s="68"/>
      <c r="K8" s="69" t="s">
        <v>18</v>
      </c>
      <c r="L8" s="70"/>
      <c r="M8" s="71"/>
      <c r="N8" s="70"/>
      <c r="O8" s="70" t="s">
        <v>19</v>
      </c>
      <c r="P8" s="70"/>
      <c r="Q8" s="70"/>
      <c r="R8" s="72" t="s">
        <v>20</v>
      </c>
      <c r="S8" s="73" t="s">
        <v>21</v>
      </c>
      <c r="T8" s="355" t="s">
        <v>22</v>
      </c>
      <c r="U8" s="356"/>
      <c r="V8" s="357" t="s">
        <v>23</v>
      </c>
      <c r="W8" s="358"/>
      <c r="X8" s="358"/>
      <c r="Y8" s="358"/>
      <c r="Z8" s="358"/>
      <c r="AA8" s="358"/>
      <c r="AB8" s="358"/>
      <c r="AC8" s="358"/>
      <c r="AD8" s="359"/>
      <c r="AE8" s="8"/>
      <c r="AF8" s="8"/>
      <c r="AG8" s="8"/>
      <c r="AH8" s="8"/>
      <c r="AI8" s="8"/>
      <c r="AJ8" s="8"/>
      <c r="AK8" s="74" t="s">
        <v>24</v>
      </c>
      <c r="AL8" s="75"/>
      <c r="AM8" s="75"/>
      <c r="AN8" s="75"/>
      <c r="AO8" s="75"/>
      <c r="AP8" s="8" t="s">
        <v>25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366" t="str">
        <f t="shared" ref="A9:A16" si="0">B60</f>
        <v>BEAUCHER</v>
      </c>
      <c r="B9" s="367"/>
      <c r="C9" s="367"/>
      <c r="D9" s="368"/>
      <c r="E9" s="369" t="str">
        <f t="shared" ref="E9:E16" si="1">C60</f>
        <v>ALAIN</v>
      </c>
      <c r="F9" s="370"/>
      <c r="G9" s="370"/>
      <c r="H9" s="370"/>
      <c r="I9" s="361"/>
      <c r="J9" s="371" t="str">
        <f t="shared" ref="J9:J16" si="2">D60</f>
        <v>LIVRY</v>
      </c>
      <c r="K9" s="370"/>
      <c r="L9" s="370"/>
      <c r="M9" s="361"/>
      <c r="N9" s="76">
        <f t="shared" ref="N9:N16" si="3">E60</f>
        <v>144872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360" t="str">
        <f t="shared" ref="T9:T16" si="5">IF(S9&gt;0,R9/S9,"")</f>
        <v/>
      </c>
      <c r="U9" s="361"/>
      <c r="V9" s="372"/>
      <c r="W9" s="370"/>
      <c r="X9" s="370"/>
      <c r="Y9" s="370"/>
      <c r="Z9" s="370"/>
      <c r="AA9" s="370"/>
      <c r="AB9" s="370"/>
      <c r="AC9" s="370"/>
      <c r="AD9" s="361"/>
      <c r="AE9" s="32"/>
      <c r="AF9" s="32"/>
      <c r="AG9" s="32"/>
      <c r="AH9" s="32"/>
      <c r="AI9" s="32"/>
      <c r="AJ9" s="33"/>
      <c r="AK9" s="26" t="s">
        <v>26</v>
      </c>
      <c r="AL9" s="75"/>
      <c r="AM9" s="75"/>
      <c r="AN9" s="75"/>
      <c r="AO9" s="75"/>
      <c r="AP9" s="8" t="s">
        <v>27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28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29</v>
      </c>
      <c r="CI9" s="84"/>
      <c r="CJ9" s="84"/>
      <c r="CK9" s="84" t="s">
        <v>30</v>
      </c>
      <c r="CL9" s="84"/>
      <c r="CM9" s="84" t="s">
        <v>31</v>
      </c>
      <c r="CN9" s="84"/>
      <c r="CO9" s="84" t="s">
        <v>32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75" t="str">
        <f t="shared" si="0"/>
        <v>GOUVEIA</v>
      </c>
      <c r="B10" s="365"/>
      <c r="C10" s="365"/>
      <c r="D10" s="363"/>
      <c r="E10" s="373" t="str">
        <f t="shared" si="1"/>
        <v>VICTOR</v>
      </c>
      <c r="F10" s="365"/>
      <c r="G10" s="365"/>
      <c r="H10" s="365"/>
      <c r="I10" s="363"/>
      <c r="J10" s="374" t="str">
        <f t="shared" si="2"/>
        <v>LIVRY</v>
      </c>
      <c r="K10" s="365"/>
      <c r="L10" s="365"/>
      <c r="M10" s="363"/>
      <c r="N10" s="89">
        <f t="shared" si="3"/>
        <v>150497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62" t="str">
        <f t="shared" si="5"/>
        <v/>
      </c>
      <c r="U10" s="363"/>
      <c r="V10" s="364"/>
      <c r="W10" s="365"/>
      <c r="X10" s="365"/>
      <c r="Y10" s="365"/>
      <c r="Z10" s="365"/>
      <c r="AA10" s="365"/>
      <c r="AB10" s="365"/>
      <c r="AC10" s="365"/>
      <c r="AD10" s="363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33</v>
      </c>
      <c r="AV10" s="32"/>
      <c r="AW10" s="33"/>
      <c r="AX10" s="33"/>
      <c r="AY10" s="33" t="s">
        <v>34</v>
      </c>
      <c r="AZ10" s="33"/>
      <c r="BA10" s="33"/>
      <c r="BB10" s="33"/>
      <c r="BC10" s="33" t="s">
        <v>35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/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75" t="str">
        <f t="shared" si="0"/>
        <v>DELAPLACE</v>
      </c>
      <c r="B11" s="365"/>
      <c r="C11" s="365"/>
      <c r="D11" s="363"/>
      <c r="E11" s="373" t="str">
        <f t="shared" si="1"/>
        <v>EMMANUEL</v>
      </c>
      <c r="F11" s="365"/>
      <c r="G11" s="365"/>
      <c r="H11" s="365"/>
      <c r="I11" s="363"/>
      <c r="J11" s="374" t="str">
        <f t="shared" si="2"/>
        <v>LIVRY</v>
      </c>
      <c r="K11" s="365"/>
      <c r="L11" s="365"/>
      <c r="M11" s="363"/>
      <c r="N11" s="89">
        <f t="shared" si="3"/>
        <v>143224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62" t="str">
        <f t="shared" si="5"/>
        <v/>
      </c>
      <c r="U11" s="363"/>
      <c r="V11" s="364"/>
      <c r="W11" s="365"/>
      <c r="X11" s="365"/>
      <c r="Y11" s="365"/>
      <c r="Z11" s="365"/>
      <c r="AA11" s="365"/>
      <c r="AB11" s="365"/>
      <c r="AC11" s="365"/>
      <c r="AD11" s="363"/>
      <c r="AE11" s="32"/>
      <c r="AF11" s="32"/>
      <c r="AG11" s="32"/>
      <c r="AH11" s="32"/>
      <c r="AI11" s="32"/>
      <c r="AJ11" s="33"/>
      <c r="AK11" s="26" t="s">
        <v>36</v>
      </c>
      <c r="AL11" s="22" t="s">
        <v>37</v>
      </c>
      <c r="AM11" s="95" t="s">
        <v>38</v>
      </c>
      <c r="AN11" s="95" t="s">
        <v>39</v>
      </c>
      <c r="AO11" s="95" t="s">
        <v>40</v>
      </c>
      <c r="AP11" s="22" t="str">
        <f t="shared" ref="AP11:AP16" si="8">A9</f>
        <v>BEAUCHER</v>
      </c>
      <c r="AQ11" s="33"/>
      <c r="AR11" s="33" t="s">
        <v>41</v>
      </c>
      <c r="AS11" s="96" t="str">
        <f>CONCATENATE(AP12," / ",AP14)</f>
        <v>GOUVEIA / RIEGEL</v>
      </c>
      <c r="AT11" s="97"/>
      <c r="AU11" s="97"/>
      <c r="AV11" s="98"/>
      <c r="AW11" s="96" t="str">
        <f>CONCATENATE(AP11," / ",AP16)</f>
        <v>BEAUCHER / 0</v>
      </c>
      <c r="AX11" s="97"/>
      <c r="AY11" s="97"/>
      <c r="AZ11" s="97"/>
      <c r="BA11" s="99"/>
      <c r="BB11" s="96" t="str">
        <f>CONCATENATE(AP13," / ",AP15)</f>
        <v>DELAPLACE / HELLAL</v>
      </c>
      <c r="BC11" s="100"/>
      <c r="BD11" s="97"/>
      <c r="BE11" s="99"/>
      <c r="BF11" s="32"/>
      <c r="BG11" s="32"/>
      <c r="BH11" s="101" t="s">
        <v>42</v>
      </c>
      <c r="BI11" s="22" t="str">
        <f>H6</f>
        <v>3 BANDES</v>
      </c>
      <c r="BJ11" s="26"/>
      <c r="BK11" s="102" t="s">
        <v>43</v>
      </c>
      <c r="BL11" s="103" t="s">
        <v>44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/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75" t="str">
        <f t="shared" si="0"/>
        <v>RIEGEL</v>
      </c>
      <c r="B12" s="365"/>
      <c r="C12" s="365"/>
      <c r="D12" s="363"/>
      <c r="E12" s="373" t="str">
        <f t="shared" si="1"/>
        <v>SERGE</v>
      </c>
      <c r="F12" s="365"/>
      <c r="G12" s="365"/>
      <c r="H12" s="365"/>
      <c r="I12" s="363"/>
      <c r="J12" s="374" t="str">
        <f t="shared" si="2"/>
        <v>ABASM</v>
      </c>
      <c r="K12" s="365"/>
      <c r="L12" s="365"/>
      <c r="M12" s="363"/>
      <c r="N12" s="89">
        <f t="shared" si="3"/>
        <v>10178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62" t="str">
        <f t="shared" si="5"/>
        <v/>
      </c>
      <c r="U12" s="363"/>
      <c r="V12" s="364"/>
      <c r="W12" s="365"/>
      <c r="X12" s="365"/>
      <c r="Y12" s="365"/>
      <c r="Z12" s="365"/>
      <c r="AA12" s="365"/>
      <c r="AB12" s="365"/>
      <c r="AC12" s="365"/>
      <c r="AD12" s="363"/>
      <c r="AE12" s="32"/>
      <c r="AF12" s="32"/>
      <c r="AG12" s="33" t="s">
        <v>45</v>
      </c>
      <c r="AH12" s="32"/>
      <c r="AI12" s="32"/>
      <c r="AJ12" s="33"/>
      <c r="AK12" s="22"/>
      <c r="AL12" s="22" t="s">
        <v>46</v>
      </c>
      <c r="AM12" s="95" t="s">
        <v>47</v>
      </c>
      <c r="AN12" s="95" t="s">
        <v>48</v>
      </c>
      <c r="AO12" s="95" t="s">
        <v>49</v>
      </c>
      <c r="AP12" s="22" t="str">
        <f t="shared" si="8"/>
        <v>GOUVEIA</v>
      </c>
      <c r="AQ12" s="33"/>
      <c r="AR12" s="33" t="s">
        <v>50</v>
      </c>
      <c r="AS12" s="96" t="str">
        <f>CONCATENATE(AP11," / ",AP15)</f>
        <v>BEAUCHER / HELLAL</v>
      </c>
      <c r="AT12" s="97"/>
      <c r="AU12" s="97"/>
      <c r="AV12" s="98"/>
      <c r="AW12" s="96" t="str">
        <f>CONCATENATE(AP14," / ",AP16)</f>
        <v>RIEGEL / 0</v>
      </c>
      <c r="AX12" s="97"/>
      <c r="AY12" s="97"/>
      <c r="AZ12" s="97"/>
      <c r="BA12" s="99"/>
      <c r="BB12" s="96" t="str">
        <f>CONCATENATE(AP12," / ",AP13)</f>
        <v>GOUVEIA / DELAPLACE</v>
      </c>
      <c r="BC12" s="100"/>
      <c r="BD12" s="97"/>
      <c r="BE12" s="99"/>
      <c r="BF12" s="32"/>
      <c r="BG12" s="32"/>
      <c r="BH12" s="101" t="s">
        <v>51</v>
      </c>
      <c r="BI12" s="32" t="str">
        <f>O6</f>
        <v>N3</v>
      </c>
      <c r="BJ12" s="26" t="s">
        <v>52</v>
      </c>
      <c r="BK12" s="104">
        <f>AB6</f>
        <v>25</v>
      </c>
      <c r="BL12" s="104"/>
      <c r="BM12" s="105" t="s">
        <v>53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54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55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75" t="str">
        <f t="shared" si="0"/>
        <v>HELLAL</v>
      </c>
      <c r="B13" s="365"/>
      <c r="C13" s="365"/>
      <c r="D13" s="363"/>
      <c r="E13" s="373" t="str">
        <f t="shared" si="1"/>
        <v>DENIS</v>
      </c>
      <c r="F13" s="365"/>
      <c r="G13" s="365"/>
      <c r="H13" s="365"/>
      <c r="I13" s="363"/>
      <c r="J13" s="374" t="str">
        <f t="shared" si="2"/>
        <v>ABASM</v>
      </c>
      <c r="K13" s="365"/>
      <c r="L13" s="365"/>
      <c r="M13" s="363"/>
      <c r="N13" s="89">
        <f t="shared" si="3"/>
        <v>120639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62" t="str">
        <f t="shared" si="5"/>
        <v/>
      </c>
      <c r="U13" s="363"/>
      <c r="V13" s="364"/>
      <c r="W13" s="365"/>
      <c r="X13" s="365"/>
      <c r="Y13" s="365"/>
      <c r="Z13" s="365"/>
      <c r="AA13" s="365"/>
      <c r="AB13" s="365"/>
      <c r="AC13" s="365"/>
      <c r="AD13" s="363"/>
      <c r="AE13" s="32"/>
      <c r="AF13" s="32"/>
      <c r="AG13" s="32"/>
      <c r="AH13" s="32"/>
      <c r="AI13" s="32"/>
      <c r="AJ13" s="33"/>
      <c r="AK13" s="22"/>
      <c r="AL13" s="22" t="s">
        <v>56</v>
      </c>
      <c r="AM13" s="95" t="s">
        <v>57</v>
      </c>
      <c r="AN13" s="95" t="s">
        <v>58</v>
      </c>
      <c r="AO13" s="95" t="s">
        <v>59</v>
      </c>
      <c r="AP13" s="22" t="str">
        <f t="shared" si="8"/>
        <v>DELAPLACE</v>
      </c>
      <c r="AQ13" s="33"/>
      <c r="AR13" s="33" t="s">
        <v>60</v>
      </c>
      <c r="AS13" s="96" t="str">
        <f>CONCATENATE(AP13," / ",AP16)</f>
        <v>DELAPLACE / 0</v>
      </c>
      <c r="AT13" s="97"/>
      <c r="AU13" s="97"/>
      <c r="AV13" s="98"/>
      <c r="AW13" s="96" t="str">
        <f>CONCATENATE(AP12," / ",AP15)</f>
        <v>GOUVEIA / HELLAL</v>
      </c>
      <c r="AX13" s="97"/>
      <c r="AY13" s="97"/>
      <c r="AZ13" s="97"/>
      <c r="BA13" s="99"/>
      <c r="BB13" s="96" t="str">
        <f>CONCATENATE(AP11," / ",AP14)</f>
        <v>BEAUCHER / RIEGEL</v>
      </c>
      <c r="BC13" s="100"/>
      <c r="BD13" s="97"/>
      <c r="BE13" s="99"/>
      <c r="BF13" s="32"/>
      <c r="BG13" s="32"/>
      <c r="BH13" s="101" t="s">
        <v>61</v>
      </c>
      <c r="BI13" s="32" t="str">
        <f>V6</f>
        <v>0,360 à 0,522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376" t="s">
        <v>62</v>
      </c>
      <c r="CG13" s="356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63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75">
        <f t="shared" si="0"/>
        <v>0</v>
      </c>
      <c r="B14" s="365"/>
      <c r="C14" s="365"/>
      <c r="D14" s="363"/>
      <c r="E14" s="373">
        <f t="shared" si="1"/>
        <v>0</v>
      </c>
      <c r="F14" s="365"/>
      <c r="G14" s="365"/>
      <c r="H14" s="365"/>
      <c r="I14" s="363"/>
      <c r="J14" s="374">
        <f t="shared" si="2"/>
        <v>0</v>
      </c>
      <c r="K14" s="365"/>
      <c r="L14" s="365"/>
      <c r="M14" s="363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62" t="str">
        <f t="shared" si="5"/>
        <v/>
      </c>
      <c r="U14" s="363"/>
      <c r="V14" s="364"/>
      <c r="W14" s="365"/>
      <c r="X14" s="365"/>
      <c r="Y14" s="365"/>
      <c r="Z14" s="365"/>
      <c r="AA14" s="365"/>
      <c r="AB14" s="365"/>
      <c r="AC14" s="365"/>
      <c r="AD14" s="363"/>
      <c r="AE14" s="32"/>
      <c r="AF14" s="32"/>
      <c r="AG14" s="32"/>
      <c r="AH14" s="32"/>
      <c r="AI14" s="32"/>
      <c r="AJ14" s="33"/>
      <c r="AK14" s="22"/>
      <c r="AL14" s="22" t="s">
        <v>64</v>
      </c>
      <c r="AM14" s="95" t="s">
        <v>65</v>
      </c>
      <c r="AN14" s="95" t="s">
        <v>66</v>
      </c>
      <c r="AO14" s="95" t="s">
        <v>67</v>
      </c>
      <c r="AP14" s="22" t="str">
        <f t="shared" si="8"/>
        <v>RIEGEL</v>
      </c>
      <c r="AQ14" s="33"/>
      <c r="AR14" s="117" t="s">
        <v>68</v>
      </c>
      <c r="AS14" s="118" t="str">
        <f>CONCATENATE(AP14," / ",AP15)</f>
        <v>RIEGEL / HELLAL</v>
      </c>
      <c r="AT14" s="119"/>
      <c r="AU14" s="119"/>
      <c r="AV14" s="120"/>
      <c r="AW14" s="118" t="str">
        <f>CONCATENATE(AP11," / ",AP13)</f>
        <v>BEAUCHER / DELAPLACE</v>
      </c>
      <c r="AX14" s="119"/>
      <c r="AY14" s="119"/>
      <c r="AZ14" s="119"/>
      <c r="BA14" s="121"/>
      <c r="BB14" s="118" t="str">
        <f>CONCATENATE(AP12," / ",AP16)</f>
        <v>GOUVEIA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377">
        <f>IF(CG16&lt;&gt;0,CF16/CG16,0)</f>
        <v>0.46924829157175396</v>
      </c>
      <c r="CG14" s="356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69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75">
        <f t="shared" si="0"/>
        <v>0</v>
      </c>
      <c r="B15" s="365"/>
      <c r="C15" s="365"/>
      <c r="D15" s="363"/>
      <c r="E15" s="373">
        <f t="shared" si="1"/>
        <v>0</v>
      </c>
      <c r="F15" s="365"/>
      <c r="G15" s="365"/>
      <c r="H15" s="365"/>
      <c r="I15" s="363"/>
      <c r="J15" s="374">
        <f t="shared" si="2"/>
        <v>0</v>
      </c>
      <c r="K15" s="365"/>
      <c r="L15" s="365"/>
      <c r="M15" s="363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62" t="str">
        <f t="shared" si="5"/>
        <v/>
      </c>
      <c r="U15" s="363"/>
      <c r="V15" s="364"/>
      <c r="W15" s="365"/>
      <c r="X15" s="365"/>
      <c r="Y15" s="365"/>
      <c r="Z15" s="365"/>
      <c r="AA15" s="365"/>
      <c r="AB15" s="365"/>
      <c r="AC15" s="365"/>
      <c r="AD15" s="363"/>
      <c r="AE15" s="32"/>
      <c r="AF15" s="32"/>
      <c r="AG15" s="32"/>
      <c r="AH15" s="32"/>
      <c r="AI15" s="32"/>
      <c r="AJ15" s="33"/>
      <c r="AK15" s="22"/>
      <c r="AL15" s="22" t="s">
        <v>70</v>
      </c>
      <c r="AM15" s="95" t="s">
        <v>71</v>
      </c>
      <c r="AN15" s="95" t="s">
        <v>72</v>
      </c>
      <c r="AO15" s="95" t="s">
        <v>73</v>
      </c>
      <c r="AP15" s="22" t="str">
        <f t="shared" si="8"/>
        <v>HELLAL</v>
      </c>
      <c r="AQ15" s="33"/>
      <c r="AR15" s="33" t="s">
        <v>74</v>
      </c>
      <c r="AS15" s="96" t="str">
        <f>CONCATENATE(AP11," / ",AP12)</f>
        <v>BEAUCHER / GOUVEIA</v>
      </c>
      <c r="AT15" s="97"/>
      <c r="AU15" s="97"/>
      <c r="AV15" s="98"/>
      <c r="AW15" s="96" t="str">
        <f>CONCATENATE(AP13," / ",AP14)</f>
        <v>DELAPLACE / RIEGEL</v>
      </c>
      <c r="AX15" s="97"/>
      <c r="AY15" s="97"/>
      <c r="AZ15" s="97"/>
      <c r="BA15" s="99"/>
      <c r="BB15" s="96" t="str">
        <f>CONCATENATE(AP15," / ",AP16)</f>
        <v>HELLAL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75</v>
      </c>
      <c r="CN15" s="111"/>
      <c r="CO15" s="111"/>
      <c r="CP15" s="111"/>
      <c r="CQ15" s="112"/>
      <c r="CR15" s="84"/>
      <c r="CS15" s="84"/>
      <c r="CT15" s="22"/>
      <c r="CU15" s="128" t="s">
        <v>76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402">
        <f t="shared" si="0"/>
        <v>0</v>
      </c>
      <c r="B16" s="353"/>
      <c r="C16" s="353"/>
      <c r="D16" s="389"/>
      <c r="E16" s="403">
        <f t="shared" si="1"/>
        <v>0</v>
      </c>
      <c r="F16" s="353"/>
      <c r="G16" s="353"/>
      <c r="H16" s="353"/>
      <c r="I16" s="389"/>
      <c r="J16" s="404">
        <f t="shared" si="2"/>
        <v>0</v>
      </c>
      <c r="K16" s="353"/>
      <c r="L16" s="353"/>
      <c r="M16" s="389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401" t="str">
        <f t="shared" si="5"/>
        <v/>
      </c>
      <c r="U16" s="389"/>
      <c r="V16" s="405"/>
      <c r="W16" s="353"/>
      <c r="X16" s="353"/>
      <c r="Y16" s="353"/>
      <c r="Z16" s="353"/>
      <c r="AA16" s="353"/>
      <c r="AB16" s="353"/>
      <c r="AC16" s="353"/>
      <c r="AD16" s="389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78" t="s">
        <v>77</v>
      </c>
      <c r="BM16" s="368"/>
      <c r="BN16" s="134" t="s">
        <v>78</v>
      </c>
      <c r="BO16" s="108"/>
      <c r="BP16" s="134" t="s">
        <v>79</v>
      </c>
      <c r="BQ16" s="108"/>
      <c r="BR16" s="134" t="s">
        <v>80</v>
      </c>
      <c r="BS16" s="108"/>
      <c r="BT16" s="134" t="s">
        <v>81</v>
      </c>
      <c r="BU16" s="108"/>
      <c r="BV16" s="134" t="s">
        <v>82</v>
      </c>
      <c r="BW16" s="108"/>
      <c r="BX16" s="134" t="s">
        <v>83</v>
      </c>
      <c r="BY16" s="108"/>
      <c r="BZ16" s="135" t="s">
        <v>84</v>
      </c>
      <c r="CA16" s="136" t="s">
        <v>84</v>
      </c>
      <c r="CB16" s="136" t="s">
        <v>84</v>
      </c>
      <c r="CC16" s="137" t="s">
        <v>85</v>
      </c>
      <c r="CD16" s="92"/>
      <c r="CE16" s="26" t="s">
        <v>20</v>
      </c>
      <c r="CF16" s="138">
        <f t="shared" ref="CF16:CG16" si="14">SUM(CF18:CF51)</f>
        <v>412</v>
      </c>
      <c r="CG16" s="138">
        <f t="shared" si="14"/>
        <v>878</v>
      </c>
      <c r="CH16" s="24" t="s">
        <v>21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86</v>
      </c>
      <c r="CV16" s="93" t="s">
        <v>87</v>
      </c>
      <c r="CW16" s="22"/>
      <c r="CX16" s="22"/>
      <c r="CY16" s="103" t="s">
        <v>88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89</v>
      </c>
      <c r="B17" s="143"/>
      <c r="C17" s="144"/>
      <c r="D17" s="145"/>
      <c r="E17" s="146" t="str">
        <f>A9</f>
        <v>BEAUCHER</v>
      </c>
      <c r="F17" s="145"/>
      <c r="G17" s="147"/>
      <c r="H17" s="146" t="str">
        <f>A10</f>
        <v>GOUVEIA</v>
      </c>
      <c r="I17" s="148"/>
      <c r="J17" s="145"/>
      <c r="K17" s="146" t="str">
        <f>A11</f>
        <v>DELAPLACE</v>
      </c>
      <c r="L17" s="148"/>
      <c r="M17" s="145"/>
      <c r="N17" s="146" t="str">
        <f>A12</f>
        <v>RIEGEL</v>
      </c>
      <c r="O17" s="148"/>
      <c r="P17" s="145"/>
      <c r="Q17" s="146" t="str">
        <f>A13</f>
        <v>HELLAL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90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91</v>
      </c>
      <c r="BF17" s="84" t="s">
        <v>92</v>
      </c>
      <c r="BG17" s="22"/>
      <c r="BH17" s="157" t="s">
        <v>93</v>
      </c>
      <c r="BI17" s="158" t="s">
        <v>94</v>
      </c>
      <c r="BJ17" s="159" t="s">
        <v>45</v>
      </c>
      <c r="BK17" s="160"/>
      <c r="BL17" s="161" t="s">
        <v>95</v>
      </c>
      <c r="BM17" s="162" t="s">
        <v>96</v>
      </c>
      <c r="BN17" s="163" t="s">
        <v>95</v>
      </c>
      <c r="BO17" s="162" t="s">
        <v>96</v>
      </c>
      <c r="BP17" s="163" t="s">
        <v>95</v>
      </c>
      <c r="BQ17" s="162" t="s">
        <v>96</v>
      </c>
      <c r="BR17" s="163" t="s">
        <v>95</v>
      </c>
      <c r="BS17" s="162" t="s">
        <v>96</v>
      </c>
      <c r="BT17" s="163" t="s">
        <v>95</v>
      </c>
      <c r="BU17" s="162" t="s">
        <v>96</v>
      </c>
      <c r="BV17" s="163" t="s">
        <v>95</v>
      </c>
      <c r="BW17" s="162" t="s">
        <v>96</v>
      </c>
      <c r="BX17" s="163" t="s">
        <v>95</v>
      </c>
      <c r="BY17" s="162" t="s">
        <v>96</v>
      </c>
      <c r="BZ17" s="164" t="s">
        <v>97</v>
      </c>
      <c r="CA17" s="165" t="s">
        <v>98</v>
      </c>
      <c r="CB17" s="165" t="s">
        <v>99</v>
      </c>
      <c r="CC17" s="166" t="s">
        <v>100</v>
      </c>
      <c r="CD17" s="167"/>
      <c r="CE17" s="33"/>
      <c r="CF17" s="33"/>
      <c r="CG17" s="33"/>
      <c r="CH17" s="33"/>
      <c r="CI17" s="168" t="s">
        <v>101</v>
      </c>
      <c r="CJ17" s="84"/>
      <c r="CK17" s="84" t="s">
        <v>102</v>
      </c>
      <c r="CL17" s="84"/>
      <c r="CM17" s="84" t="s">
        <v>103</v>
      </c>
      <c r="CN17" s="84"/>
      <c r="CO17" s="84" t="s">
        <v>104</v>
      </c>
      <c r="CP17" s="84"/>
      <c r="CQ17" s="169" t="s">
        <v>105</v>
      </c>
      <c r="CR17" s="84"/>
      <c r="CS17" s="170"/>
      <c r="CT17" s="22"/>
      <c r="CU17" s="93">
        <f>IF(BL12&lt;&gt;"",BL12,BK12)</f>
        <v>25</v>
      </c>
      <c r="CV17" s="171">
        <f>IF(BK12&lt;&gt;"",BK12,"")</f>
        <v>25</v>
      </c>
      <c r="CW17" s="33" t="s">
        <v>106</v>
      </c>
      <c r="CX17" s="33" t="s">
        <v>107</v>
      </c>
      <c r="CY17" s="33" t="s">
        <v>108</v>
      </c>
      <c r="CZ17" s="33" t="s">
        <v>109</v>
      </c>
      <c r="DA17" s="33" t="s">
        <v>110</v>
      </c>
      <c r="DB17" s="33" t="s">
        <v>111</v>
      </c>
      <c r="DC17" s="33" t="s">
        <v>112</v>
      </c>
      <c r="DD17" s="84" t="s">
        <v>113</v>
      </c>
      <c r="DE17" s="22"/>
      <c r="DF17" s="22" t="s">
        <v>114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406" t="str">
        <f>E9</f>
        <v>ALAIN</v>
      </c>
      <c r="B18" s="395"/>
      <c r="C18" s="356"/>
      <c r="D18" s="172"/>
      <c r="E18" s="172"/>
      <c r="F18" s="173"/>
      <c r="G18" s="327">
        <v>25</v>
      </c>
      <c r="H18" s="328"/>
      <c r="I18" s="329">
        <v>29</v>
      </c>
      <c r="J18" s="331">
        <v>25</v>
      </c>
      <c r="K18" s="331"/>
      <c r="L18" s="329">
        <v>36</v>
      </c>
      <c r="M18" s="332">
        <v>25</v>
      </c>
      <c r="N18" s="331"/>
      <c r="O18" s="333">
        <v>37</v>
      </c>
      <c r="P18" s="331">
        <v>23</v>
      </c>
      <c r="Q18" s="331"/>
      <c r="R18" s="329">
        <v>47</v>
      </c>
      <c r="S18" s="331"/>
      <c r="T18" s="331"/>
      <c r="U18" s="329"/>
      <c r="V18" s="331"/>
      <c r="W18" s="331"/>
      <c r="X18" s="329"/>
      <c r="Y18" s="328"/>
      <c r="Z18" s="328"/>
      <c r="AA18" s="335"/>
      <c r="AB18" s="24">
        <f>SUM(Y18,V18,S18,P18,M18,J18,G18,D18)</f>
        <v>98</v>
      </c>
      <c r="AC18" s="32"/>
      <c r="AD18" s="46">
        <f>SUM(AA18,X18,U18,R18,O18,L18,I18,F18)</f>
        <v>149</v>
      </c>
      <c r="AE18" s="22"/>
      <c r="AF18" s="22"/>
      <c r="AG18" s="22"/>
      <c r="AH18" s="22"/>
      <c r="AI18" s="22"/>
      <c r="AJ18" s="174" t="s">
        <v>115</v>
      </c>
      <c r="AK18" s="140" t="s">
        <v>116</v>
      </c>
      <c r="AL18" s="140" t="s">
        <v>117</v>
      </c>
      <c r="AM18" s="140" t="s">
        <v>118</v>
      </c>
      <c r="AN18" s="140" t="s">
        <v>119</v>
      </c>
      <c r="AO18" s="140" t="s">
        <v>120</v>
      </c>
      <c r="AP18" s="140" t="s">
        <v>121</v>
      </c>
      <c r="AQ18" s="175" t="s">
        <v>122</v>
      </c>
      <c r="AR18" s="84"/>
      <c r="AS18" s="84"/>
      <c r="AT18" s="84"/>
      <c r="AU18" s="84"/>
      <c r="AV18" s="22"/>
      <c r="AW18" s="176" t="str">
        <f>IF(BF18&lt;&gt;"",CONCATENATE(BH18,"   ",BI18,"    ( ",BJ18," )"),"")</f>
        <v>BEAUCHER   ALAIN    ( LIVRY )</v>
      </c>
      <c r="AX18" s="140"/>
      <c r="AY18" s="140"/>
      <c r="AZ18" s="140"/>
      <c r="BA18" s="140"/>
      <c r="BB18" s="140"/>
      <c r="BC18" s="175"/>
      <c r="BD18" s="84"/>
      <c r="BE18" s="93">
        <f>IF(BF18&lt;&gt;0,RANK(BF18,BF18:BF39),"")</f>
        <v>1</v>
      </c>
      <c r="BF18" s="177">
        <f>IF(AD18&lt;&gt;0,(AJ19*1000000)+(BZ18*1000)+CB18+(CC18/1000),0)</f>
        <v>6000658.5841897698</v>
      </c>
      <c r="BG18" s="22"/>
      <c r="BH18" s="178" t="str">
        <f>A9</f>
        <v>BEAUCHER</v>
      </c>
      <c r="BI18" s="179" t="str">
        <f>E9</f>
        <v>ALAIN</v>
      </c>
      <c r="BJ18" s="180" t="str">
        <f>J9</f>
        <v>LIVRY</v>
      </c>
      <c r="BK18" s="33"/>
      <c r="BL18" s="181">
        <f>IF(E20=1,D18,IF(H20=1,G18,IF(K20=1,J18,IF(N20=1,M18,IF(Q20=1,P18,IF(T20=1,S18,IF(W20=1,V18,IF(Z20=1,Y18,""))))))))</f>
        <v>25</v>
      </c>
      <c r="BM18" s="182">
        <f>IF(E20=1,F18,IF(H20=1,I18,IF(K20=1,L18,IF(N20=1,O18,IF(Q20=1,R18,IF(T20=1,U18,IF(W20=1,X18,IF(Z20=1,AA18,0))))))))</f>
        <v>29</v>
      </c>
      <c r="BN18" s="183">
        <f>IF(E20=2,D18,IF(H20=2,G18,IF(K20=2,J18,IF(N20=2,M18,IF(Q20=2,P18,IF(T20=2,S18,IF(W20=2,V18,IF(Z20=2,Y18,""))))))))</f>
        <v>25</v>
      </c>
      <c r="BO18" s="184">
        <f>IF(E20=2,F18,IF(H20=2,I18,IF(K20=2,L18,IF(N20=2,O18,IF(Q20=2,R18,IF(T20=2,U18,IF(W20=2,X18,IF(Z20=2,AA18,0))))))))</f>
        <v>36</v>
      </c>
      <c r="BP18" s="183">
        <f>IF(E20=3,D18,IF(H20=3,G18,IF(K20=3,J18,IF(N20=3,M18,IF(Q20=3,P18,IF(T20=3,S18,IF(W20=3,V18,IF(Z20=3,Y18,""))))))))</f>
        <v>25</v>
      </c>
      <c r="BQ18" s="184">
        <f>IF(E20=3,F18,IF(H20=3,I18,IF(K20=3,L18,IF(N20=3,O18,IF(Q20=3,R18,IF(T20=3,U18,IF(W20=3,X18,IF(Z20=3,AA18,0))))))))</f>
        <v>37</v>
      </c>
      <c r="BR18" s="183">
        <f>IF(E20=4,D18,IF(H20=4,G18,IF(K20=4,J18,IF(N20=4,M18,IF(Q20=4,P18,IF(T20=4,S18,IF(W20=4,V18,IF(Z20=4,Y18,""))))))))</f>
        <v>23</v>
      </c>
      <c r="BS18" s="184">
        <f>IF(E20=4,F18,IF(H20=4,I18,IF(K20=4,L18,IF(N20=4,O18,IF(Q20=4,R18,IF(T20=4,U18,IF(W20=4,X18,IF(Z20=4,AA18,0))))))))</f>
        <v>47</v>
      </c>
      <c r="BT18" s="183" t="str">
        <f>IF(E20=5,D18,IF(H20=5,G18,IF(K20=5,J18,IF(N20=5,M18,IF(Q20=5,P18,IF(T20=5,S18,IF(W20=5,V18,IF(Z20=5,Y18,""))))))))</f>
        <v/>
      </c>
      <c r="BU18" s="184">
        <f>IF(E20=5,F18,IF(H20=5,I18,IF(K20=5,L18,IF(N20=5,O18,IF(Q20=5,R18,IF(T20=5,U18,IF(W20=5,X18,IF(Z20=5,AA18,0))))))))</f>
        <v>0</v>
      </c>
      <c r="BV18" s="183" t="str">
        <f>IF(E20=6,D18,IF(H20=6,G18,IF(K20=6,J18,IF(N20=6,M18,IF(Q20=6,P18,IF(T20=6,S18,IF(W20=6,V18,IF(Z20=6,Y18,""))))))))</f>
        <v/>
      </c>
      <c r="BW18" s="184">
        <f>IF(E20=6,F18,IF(H20=6,I18,IF(K20=6,L18,IF(N20=6,O18,IF(Q20=6,R18,IF(T20=6,U18,IF(W20=6,X18,IF(Z20=6,AA18,0))))))))</f>
        <v>0</v>
      </c>
      <c r="BX18" s="183" t="str">
        <f>IF(E20=7,D18,IF(H20=7,G18,IF(K20=7,J18,IF(N20=7,M18,IF(Q20=7,P18,IF(T20=7,S18,IF(W20=7,V18,IF(Z20=7,Y18,""))))))))</f>
        <v/>
      </c>
      <c r="BY18" s="184">
        <f>IF(E20=7,F18,IF(H20=7,I18,IF(K20=7,L18,IF(N20=7,O18,IF(Q20=7,R18,IF(T20=7,U18,IF(W20=7,X18,IF(Z20=7,AA18,0))))))))</f>
        <v>0</v>
      </c>
      <c r="BZ18" s="185">
        <f>IF(BM18&lt;&gt;0,SUM(BL18,BN18,BP18,BR18,BT18,BV18,BX18)/SUM(BM18,BO18,BQ18,BS18,BU18,BW18,BY18),"")</f>
        <v>0.65771812080536918</v>
      </c>
      <c r="CA18" s="186">
        <f>IF(BS18&lt;&gt;0,MAX(CI18,CK18,CM18,CO18,CQ18),"")</f>
        <v>0.73529411764705888</v>
      </c>
      <c r="CB18" s="187">
        <f>IF(DD18&gt;0,DD18,0)</f>
        <v>0.86206896551724133</v>
      </c>
      <c r="CC18" s="188">
        <f>IF(AD20&lt;&gt;"",AD20,0)</f>
        <v>4</v>
      </c>
      <c r="CD18" s="167"/>
      <c r="CE18" s="189"/>
      <c r="CF18" s="171">
        <f t="shared" ref="CF18:CG18" si="15">SUM(BL18,BN18,BP18,BR18,BT18,BV18,BX18)</f>
        <v>98</v>
      </c>
      <c r="CG18" s="171">
        <f t="shared" si="15"/>
        <v>149</v>
      </c>
      <c r="CH18" s="189"/>
      <c r="CI18" s="168">
        <f>IF(BQ18&lt;&gt;0,(BL18+BN18+BP18)/(BM18+BO18+BQ18),0)</f>
        <v>0.73529411764705888</v>
      </c>
      <c r="CJ18" s="84"/>
      <c r="CK18" s="84">
        <f>IF(BS18&lt;&gt;0,(BN18+BP18+BR18)/(BO18+BQ18+BS18),0)</f>
        <v>0.60833333333333328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25</v>
      </c>
      <c r="CV18" s="92">
        <f>CV$17</f>
        <v>25</v>
      </c>
      <c r="CW18" s="190">
        <f>IF(BL18=CV18,(BL18/BM18),IF(AND(BK18&gt;0,BL18=CU18),(BL18/BM18),""))</f>
        <v>0.86206896551724133</v>
      </c>
      <c r="CX18" s="190">
        <f>IF(BN18=CV18,BN18/BO18,IF(AND(BK18&gt;1,BN18=CU18),BN18/BO18,""))</f>
        <v>0.69444444444444442</v>
      </c>
      <c r="CY18" s="190">
        <f>IF(BP18=CV18,BP18/BQ18,IF(AND(BK18=3,BP18=CU18),BP18/BQ18,IF(AND(BK18=4,BP18=CU18),BP18/BQ18,"")))</f>
        <v>0.67567567567567566</v>
      </c>
      <c r="CZ18" s="190" t="str">
        <f>IF(BR18=CV18,BR18/BS18,IF(AND(BK18=4,BR18=CU18),BR18/BS18,""))</f>
        <v/>
      </c>
      <c r="DA18" s="190" t="str">
        <f>IF(BT18=CV18,(BT18/BU18),"")</f>
        <v/>
      </c>
      <c r="DB18" s="190" t="str">
        <f>IF(BV18=CU18,(BV18/BW18),"")</f>
        <v/>
      </c>
      <c r="DC18" s="190" t="str">
        <f>IF(BX18=CV18,(BX18/BY18),"")</f>
        <v/>
      </c>
      <c r="DD18" s="190">
        <f>MAX(CW18:DC18)</f>
        <v>0.86206896551724133</v>
      </c>
      <c r="DE18" s="22"/>
      <c r="DF18" s="191" t="s">
        <v>123</v>
      </c>
      <c r="DG18" s="22" t="s">
        <v>124</v>
      </c>
      <c r="DH18" s="22" t="s">
        <v>125</v>
      </c>
      <c r="DI18" s="22" t="s">
        <v>126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407" t="str">
        <f>A9</f>
        <v>BEAUCHER</v>
      </c>
      <c r="B19" s="395"/>
      <c r="C19" s="356"/>
      <c r="D19" s="193"/>
      <c r="E19" s="193"/>
      <c r="F19" s="194"/>
      <c r="G19" s="156"/>
      <c r="H19" s="195" t="str">
        <f>IF(AK19=2,"G","")</f>
        <v>G</v>
      </c>
      <c r="I19" s="196" t="str">
        <f>IF(AK19=1,"N","")</f>
        <v/>
      </c>
      <c r="J19" s="156"/>
      <c r="K19" s="195" t="str">
        <f>IF(AL19=2,"G"," ")</f>
        <v>G</v>
      </c>
      <c r="L19" s="196" t="str">
        <f>IF(AL19=1,"N","")</f>
        <v/>
      </c>
      <c r="M19" s="156"/>
      <c r="N19" s="195" t="str">
        <f>IF(AM19=2,"G"," ")</f>
        <v>G</v>
      </c>
      <c r="O19" s="196" t="str">
        <f>IF(AM19=1,"N","")</f>
        <v/>
      </c>
      <c r="P19" s="156"/>
      <c r="Q19" s="195" t="str">
        <f>IF(AN19=2,"G"," ")</f>
        <v xml:space="preserve"> </v>
      </c>
      <c r="R19" s="196" t="str">
        <f>IF(AN19=1,"N","")</f>
        <v/>
      </c>
      <c r="S19" s="156"/>
      <c r="T19" s="195" t="str">
        <f>IF(AO19=2,"G"," ")</f>
        <v xml:space="preserve"> </v>
      </c>
      <c r="U19" s="197" t="str">
        <f>IF(AO19=1,"N","")</f>
        <v/>
      </c>
      <c r="V19" s="198" t="str">
        <f>IF(AP19=2,"G"," ")</f>
        <v xml:space="preserve"> </v>
      </c>
      <c r="W19" s="198"/>
      <c r="X19" s="197" t="str">
        <f>IF(AP19=1,"N","")</f>
        <v/>
      </c>
      <c r="Y19" s="199" t="str">
        <f>IF(AQ19=2,"G"," ")</f>
        <v xml:space="preserve"> </v>
      </c>
      <c r="Z19" s="198"/>
      <c r="AA19" s="200" t="str">
        <f>IF(AQ19=1,"N","")</f>
        <v/>
      </c>
      <c r="AB19" s="24"/>
      <c r="AC19" s="201">
        <f>IF(AD18&lt;1,0,AB18/AD18)</f>
        <v>0.65771812080536918</v>
      </c>
      <c r="AD19" s="46"/>
      <c r="AE19" s="22"/>
      <c r="AF19" s="22"/>
      <c r="AG19" s="22"/>
      <c r="AH19" s="22"/>
      <c r="AI19" s="22"/>
      <c r="AJ19" s="202">
        <f>SUM(AK19:AQ19)</f>
        <v>6</v>
      </c>
      <c r="AK19" s="84">
        <f>IF(G18&gt;D21,2,0)+IF(G18=D21,1,0)+IF(G18+D21=0,-1,0)</f>
        <v>2</v>
      </c>
      <c r="AL19" s="84">
        <f>IF(J18&gt;D24,2,0)+IF(J18=D24,1,0)+IF(J18+D24=0,-1,0)</f>
        <v>2</v>
      </c>
      <c r="AM19" s="84">
        <f>IF(M18&gt;D27,2,0)+IF(M18=D27,1,0)+IF(M18+D27=0,-1,0)</f>
        <v>2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3">
        <f>IF(Y18&gt;D39,2,0)+IF(Y18=D39,1,0)+IF(Y18+D39=0,-1,0)</f>
        <v>0</v>
      </c>
      <c r="AR19" s="84" t="s">
        <v>173</v>
      </c>
      <c r="AS19" s="84"/>
      <c r="AT19" s="84"/>
      <c r="AU19" s="84"/>
      <c r="AV19" s="101" t="s">
        <v>127</v>
      </c>
      <c r="AW19" s="204" t="str">
        <f>IF(BF18&lt;&gt;"",CONCATENATE("    ",AJ19,"               ",DF19,"                    ",DG19,"                     ",DH19,"                       ",DI19),"")</f>
        <v xml:space="preserve">    6               0,658                    0,735                     0,862                       4</v>
      </c>
      <c r="AX19" s="84"/>
      <c r="AY19" s="84"/>
      <c r="AZ19" s="84"/>
      <c r="BA19" s="84"/>
      <c r="BB19" s="84"/>
      <c r="BC19" s="203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0,658</v>
      </c>
      <c r="DG19" s="94" t="str">
        <f t="shared" si="16"/>
        <v>0,735</v>
      </c>
      <c r="DH19" s="94" t="str">
        <f t="shared" si="16"/>
        <v>0,862</v>
      </c>
      <c r="DI19" s="94" t="str">
        <f>FIXED(CC18,0,3)</f>
        <v>4</v>
      </c>
      <c r="DJ19" s="205" t="s">
        <v>128</v>
      </c>
      <c r="DK19" s="205" t="s">
        <v>129</v>
      </c>
      <c r="DL19" s="205" t="s">
        <v>130</v>
      </c>
      <c r="DM19" s="205" t="s">
        <v>131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408" t="str">
        <f>J9</f>
        <v>LIVRY</v>
      </c>
      <c r="B20" s="409"/>
      <c r="C20" s="410"/>
      <c r="D20" s="207"/>
      <c r="E20" s="207"/>
      <c r="F20" s="208"/>
      <c r="G20" s="209">
        <f>IF(G18&lt;1,0,G18/I18)</f>
        <v>0.86206896551724133</v>
      </c>
      <c r="H20" s="347">
        <v>1</v>
      </c>
      <c r="I20" s="330">
        <v>4</v>
      </c>
      <c r="J20" s="209">
        <f>IF(J18&lt;1,0,J18/L18)</f>
        <v>0.69444444444444442</v>
      </c>
      <c r="K20" s="210">
        <v>2</v>
      </c>
      <c r="L20" s="330">
        <v>4</v>
      </c>
      <c r="M20" s="209">
        <f>IF(M18&lt;1,0,M18/O18)</f>
        <v>0.67567567567567566</v>
      </c>
      <c r="N20" s="210">
        <v>3</v>
      </c>
      <c r="O20" s="334">
        <v>3</v>
      </c>
      <c r="P20" s="209">
        <f>IF(P18&lt;1,0,P18/R18)</f>
        <v>0.48936170212765956</v>
      </c>
      <c r="Q20" s="210">
        <v>4</v>
      </c>
      <c r="R20" s="330">
        <v>4</v>
      </c>
      <c r="S20" s="209">
        <f>IF(S18&lt;1,0,S18/U18)</f>
        <v>0</v>
      </c>
      <c r="T20" s="210" t="s">
        <v>173</v>
      </c>
      <c r="U20" s="330"/>
      <c r="V20" s="209">
        <f>IF(V18&lt;1,0,V18/X18)</f>
        <v>0</v>
      </c>
      <c r="W20" s="213"/>
      <c r="X20" s="336"/>
      <c r="Y20" s="215">
        <f>IF(Y18&lt;1,0,Y18/AA18)</f>
        <v>0</v>
      </c>
      <c r="Z20" s="213"/>
      <c r="AA20" s="337"/>
      <c r="AB20" s="217">
        <f>IF(CB18&lt;&gt;"0",CB18,"")</f>
        <v>0.86206896551724133</v>
      </c>
      <c r="AC20" s="218"/>
      <c r="AD20" s="39">
        <f>MAX(F20,I20,L20,O20,R20,U20,X20,AA20)</f>
        <v>4</v>
      </c>
      <c r="AE20" s="22"/>
      <c r="AF20" s="22"/>
      <c r="AG20" s="22"/>
      <c r="AH20" s="22"/>
      <c r="AI20" s="22"/>
      <c r="AJ20" s="202"/>
      <c r="AK20" s="84"/>
      <c r="AL20" s="84"/>
      <c r="AM20" s="84"/>
      <c r="AN20" s="84"/>
      <c r="AO20" s="84"/>
      <c r="AP20" s="84"/>
      <c r="AQ20" s="203"/>
      <c r="AR20" s="84"/>
      <c r="AS20" s="84"/>
      <c r="AT20" s="84"/>
      <c r="AU20" s="84"/>
      <c r="AV20" s="101" t="s">
        <v>132</v>
      </c>
      <c r="AW20" s="219">
        <f>IF(OR(I19="N",H19="G"),G20,0)</f>
        <v>0.86206896551724133</v>
      </c>
      <c r="AX20" s="219">
        <f>IF(OR(L19="N",K19="G"),J20,0)</f>
        <v>0.69444444444444442</v>
      </c>
      <c r="AY20" s="219">
        <f>IF(OR(O19="N",N19="G"),M20,0)</f>
        <v>0.67567567567567566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133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406" t="str">
        <f>E10</f>
        <v>VICTOR</v>
      </c>
      <c r="B21" s="395"/>
      <c r="C21" s="356"/>
      <c r="D21" s="327">
        <v>11</v>
      </c>
      <c r="E21" s="339"/>
      <c r="F21" s="221">
        <v>29</v>
      </c>
      <c r="G21" s="222"/>
      <c r="H21" s="222"/>
      <c r="I21" s="223"/>
      <c r="J21" s="338">
        <v>25</v>
      </c>
      <c r="K21" s="339"/>
      <c r="L21" s="340">
        <v>56</v>
      </c>
      <c r="M21" s="339">
        <v>25</v>
      </c>
      <c r="N21" s="339"/>
      <c r="O21" s="341">
        <v>44</v>
      </c>
      <c r="P21" s="339">
        <v>25</v>
      </c>
      <c r="Q21" s="339"/>
      <c r="R21" s="341">
        <v>47</v>
      </c>
      <c r="S21" s="339"/>
      <c r="T21" s="339"/>
      <c r="U21" s="341"/>
      <c r="V21" s="342"/>
      <c r="W21" s="342"/>
      <c r="X21" s="343"/>
      <c r="Y21" s="344"/>
      <c r="Z21" s="344"/>
      <c r="AA21" s="345"/>
      <c r="AB21" s="24">
        <f>SUM(Y21,V21,S21,P21,M21,J21,G21,D21)</f>
        <v>86</v>
      </c>
      <c r="AC21" s="102"/>
      <c r="AD21" s="46">
        <f>SUM(AA21,X21,U21,R21,O21,L21,I21,F21)</f>
        <v>176</v>
      </c>
      <c r="AE21" s="22"/>
      <c r="AF21" s="22"/>
      <c r="AG21" s="22"/>
      <c r="AH21" s="22"/>
      <c r="AI21" s="22"/>
      <c r="AJ21" s="202"/>
      <c r="AK21" s="84"/>
      <c r="AL21" s="84"/>
      <c r="AM21" s="84"/>
      <c r="AN21" s="84"/>
      <c r="AO21" s="84"/>
      <c r="AP21" s="84"/>
      <c r="AQ21" s="203"/>
      <c r="AR21" s="84"/>
      <c r="AS21" s="84"/>
      <c r="AT21" s="84"/>
      <c r="AU21" s="84"/>
      <c r="AV21" s="22"/>
      <c r="AW21" s="176" t="str">
        <f>IF(BF21&lt;&gt;"",CONCATENATE(BH21,"   ",BI21,"    ( ",BJ21," )"),"")</f>
        <v>GOUVEIA   VICTOR    ( LIVRY )</v>
      </c>
      <c r="AX21" s="140"/>
      <c r="AY21" s="140"/>
      <c r="AZ21" s="140"/>
      <c r="BA21" s="140"/>
      <c r="BB21" s="140"/>
      <c r="BC21" s="175"/>
      <c r="BD21" s="84"/>
      <c r="BE21" s="93">
        <f>IF(BF21&lt;&gt;0,RANK(BF21,BF18:BF39),"")</f>
        <v>2</v>
      </c>
      <c r="BF21" s="177">
        <f>IF(AD21&lt;&gt;0,(AJ22*1000000)+(BZ21*1000)+CB21+(CC21/1000),0)</f>
        <v>6000489.2085454548</v>
      </c>
      <c r="BG21" s="22"/>
      <c r="BH21" s="178" t="str">
        <f>A10</f>
        <v>GOUVEIA</v>
      </c>
      <c r="BI21" s="179" t="str">
        <f>E10</f>
        <v>VICTOR</v>
      </c>
      <c r="BJ21" s="180" t="str">
        <f>J10</f>
        <v>LIVRY</v>
      </c>
      <c r="BK21" s="33"/>
      <c r="BL21" s="227">
        <f>IF(E23=1,D21,IF(H23=1,G21,IF(K23=1,J21,IF(N23=1,M21,IF(Q23=1,P21,IF(T23=1,S21,IF(W23=1,V21,IF(Z23=1,Y21,""))))))))</f>
        <v>11</v>
      </c>
      <c r="BM21" s="228">
        <f>IF(E23=1,F21,IF(H23=1,I21,IF(K23=1,L21,IF(N23=1,O21,IF(Q23=1,R21,IF(T23=1,U21,IF(W23=1,X21,IF(Z23=1,AA21,0))))))))</f>
        <v>29</v>
      </c>
      <c r="BN21" s="112">
        <f>IF(E23=2,D21,IF(H23=2,G21,IF(K23=2,J21,IF(N23=2,M21,IF(Q23=2,P21,IF(T23=2,S21,IF(W23=2,V21,IF(Z23=2,Y21,""))))))))</f>
        <v>25</v>
      </c>
      <c r="BO21" s="229">
        <f>IF(E23=2,F21,IF(H23=2,I21,IF(K23=2,L21,IF(N23=2,O21,IF(Q23=2,R21,IF(T23=2,U21,IF(W23=2,X21,IF(Z23=2,AA21,0))))))))</f>
        <v>44</v>
      </c>
      <c r="BP21" s="112">
        <f>IF(E23=3,D21,IF(H23=3,G21,IF(K23=3,J21,IF(N23=3,M21,IF(Q23=3,P21,IF(T23=3,S21,IF(W23=3,V21,IF(Z23=3,Y21,""))))))))</f>
        <v>25</v>
      </c>
      <c r="BQ21" s="229">
        <f>IF(E23=3,F21,IF(H23=3,I21,IF(K23=3,L21,IF(N23=3,O21,IF(Q23=3,R21,IF(T23=3,U21,IF(W23=3,X21,IF(Z23=3,AA21,0))))))))</f>
        <v>47</v>
      </c>
      <c r="BR21" s="112">
        <f>IF(E23=4,D21,IF(H23=4,G21,IF(K23=4,J21,IF(N23=4,M21,IF(Q23=4,P21,IF(T23=4,S21,IF(W23=4,V21,IF(Z23=4,Y21,""))))))))</f>
        <v>25</v>
      </c>
      <c r="BS21" s="229">
        <f>IF(E23=4,F21,IF(H23=4,I21,IF(K23=4,L21,IF(N23=4,O21,IF(Q23=4,R21,IF(T23=4,U21,IF(W23=4,X21,IF(Z23=4,AA21,0))))))))</f>
        <v>56</v>
      </c>
      <c r="BT21" s="112" t="str">
        <f>IF(E23=5,D21,IF(H23=5,G21,IF(K23=5,J21,IF(N23=5,M21,IF(Q23=5,P21,IF(T23=5,S21,IF(W23=5,V21,IF(Z23=5,Y21,""))))))))</f>
        <v/>
      </c>
      <c r="BU21" s="229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29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29">
        <f>IF(E23=7,F21,IF(H23=7,I21,IF(K23=7,L21,IF(N23=7,O21,IF(Q23=7,R21,IF(T23=7,U21,IF(W23=7,X21,IF(Z23=7,AA21,0))))))))</f>
        <v>0</v>
      </c>
      <c r="BZ21" s="185">
        <f>IF(BM21&lt;&gt;0,SUM(BL21,BN21,BP21,BR21,BT21,BV21,BX21)/SUM(BM21,BO21,BQ21,BS21,BU21,BW21,BY21),"")</f>
        <v>0.48863636363636365</v>
      </c>
      <c r="CA21" s="186">
        <f>IF(BS21&lt;&gt;0,MAX(CI21,CK21,CM21,CO21,CQ21),"")</f>
        <v>0.51020408163265307</v>
      </c>
      <c r="CB21" s="187">
        <f>IF(DD21&gt;0,DD21,0)</f>
        <v>0.56818181818181823</v>
      </c>
      <c r="CC21" s="188">
        <f>IF(AD23&lt;&gt;"",AD23,0)</f>
        <v>4</v>
      </c>
      <c r="CD21" s="167"/>
      <c r="CE21" s="189"/>
      <c r="CF21" s="171">
        <f t="shared" ref="CF21:CG21" si="17">SUM(BL21,BN21,BP21,BR21,BT21,BV21,BX21)</f>
        <v>86</v>
      </c>
      <c r="CG21" s="171">
        <f t="shared" si="17"/>
        <v>176</v>
      </c>
      <c r="CH21" s="189"/>
      <c r="CI21" s="168">
        <f>IF(BQ21&lt;&gt;0,(BL21+BN21+BP21)/(BM21+BO21+BQ21),0)</f>
        <v>0.5083333333333333</v>
      </c>
      <c r="CJ21" s="84"/>
      <c r="CK21" s="84">
        <f>IF(BS21&lt;&gt;0,(BN21+BP21+BR21)/(BO21+BQ21+BS21),0)</f>
        <v>0.51020408163265307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25</v>
      </c>
      <c r="CV21" s="92">
        <f t="shared" si="18"/>
        <v>25</v>
      </c>
      <c r="CW21" s="190" t="str">
        <f>IF(BL21=CV21,(BL21/BM21),IF(AND(BK21&gt;0,BL21=CU21),(BL21/BM21),""))</f>
        <v/>
      </c>
      <c r="CX21" s="190">
        <f>IF(BN21=CV21,BN21/BO21,IF(AND(BK21&gt;1,BN21=CU21),BN21/BO21,""))</f>
        <v>0.56818181818181823</v>
      </c>
      <c r="CY21" s="190">
        <f>IF(BP21=CV21,BP21/BQ21,IF(AND(BK21=3,BP21=CU21),BP21/BQ21,IF(AND(BK21=4,BP21=CU21),BP21/BQ21,"")))</f>
        <v>0.53191489361702127</v>
      </c>
      <c r="CZ21" s="190">
        <f>IF(BR21=CV21,BR21/BS21,IF(AND(BK21=4,BR21=CU21),BR21/BS21,""))</f>
        <v>0.44642857142857145</v>
      </c>
      <c r="DA21" s="190" t="str">
        <f>IF(BT21=CV21,(BT21/BU21),"")</f>
        <v/>
      </c>
      <c r="DB21" s="190" t="str">
        <f>IF(BV21=CU21,(BV21/BW21),"")</f>
        <v/>
      </c>
      <c r="DC21" s="190" t="str">
        <f>IF(BX21=CV21,(BX21/BY21),"")</f>
        <v/>
      </c>
      <c r="DD21" s="190">
        <f>MAX(CW21:DC21)</f>
        <v>0.56818181818181823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407" t="str">
        <f>A10</f>
        <v>GOUVEIA</v>
      </c>
      <c r="B22" s="395"/>
      <c r="C22" s="356"/>
      <c r="D22" s="156"/>
      <c r="E22" s="195" t="str">
        <f>IF(AK22=2,"G"," ")</f>
        <v xml:space="preserve"> </v>
      </c>
      <c r="F22" s="196" t="str">
        <f>IF(AK22=1,"N","")</f>
        <v/>
      </c>
      <c r="G22" s="193"/>
      <c r="H22" s="193"/>
      <c r="I22" s="194"/>
      <c r="J22" s="156"/>
      <c r="K22" s="195" t="str">
        <f>IF(AL22=2,"G"," ")</f>
        <v>G</v>
      </c>
      <c r="L22" s="196" t="str">
        <f>IF(AL22=1,"N","")</f>
        <v/>
      </c>
      <c r="M22" s="156"/>
      <c r="N22" s="195" t="str">
        <f>IF(AM22=2,"G"," ")</f>
        <v>G</v>
      </c>
      <c r="O22" s="196" t="str">
        <f>IF(AM22=1,"N","")</f>
        <v/>
      </c>
      <c r="P22" s="156"/>
      <c r="Q22" s="195" t="str">
        <f>IF(AN22=2,"G"," ")</f>
        <v>G</v>
      </c>
      <c r="R22" s="196" t="str">
        <f>IF(AN22=1,"N","")</f>
        <v/>
      </c>
      <c r="S22" s="156"/>
      <c r="T22" s="195" t="str">
        <f>IF(AO22=2,"G"," ")</f>
        <v xml:space="preserve"> </v>
      </c>
      <c r="U22" s="197" t="str">
        <f>IF(AO22=1,"N","")</f>
        <v/>
      </c>
      <c r="V22" s="198" t="str">
        <f>IF(AP22=2,"G"," ")</f>
        <v xml:space="preserve"> </v>
      </c>
      <c r="W22" s="198"/>
      <c r="X22" s="197" t="str">
        <f>IF(AP22=1,"N","")</f>
        <v/>
      </c>
      <c r="Y22" s="199" t="str">
        <f>IF(AQ22=2,"G"," ")</f>
        <v xml:space="preserve"> </v>
      </c>
      <c r="Z22" s="198"/>
      <c r="AA22" s="200" t="str">
        <f>IF(AQ22=1,"N","")</f>
        <v/>
      </c>
      <c r="AB22" s="24"/>
      <c r="AC22" s="201">
        <f>IF(AD21&lt;1,0,AB21/AD21)</f>
        <v>0.48863636363636365</v>
      </c>
      <c r="AD22" s="46"/>
      <c r="AE22" s="22"/>
      <c r="AF22" s="22"/>
      <c r="AG22" s="230"/>
      <c r="AH22" s="22"/>
      <c r="AI22" s="22"/>
      <c r="AJ22" s="202">
        <f>SUM(AK22:AQ22)</f>
        <v>6</v>
      </c>
      <c r="AK22" s="84">
        <f>IF(D21&gt;G18,2,0)+IF(D21=G18,1,0)+IF(D21+G18=0,-1,0)</f>
        <v>0</v>
      </c>
      <c r="AL22" s="84">
        <f>IF(J21&gt;G24,2,0)+IF(J21=G24,1,0)+IF(J21+G24=0,-1,0)</f>
        <v>2</v>
      </c>
      <c r="AM22" s="84">
        <f>IF(M21&gt;G27,2,0)+IF(M21=G27,1,0)+IF(M21+G27=0,-1,0)</f>
        <v>2</v>
      </c>
      <c r="AN22" s="84">
        <f>IF(P21&gt;G30,2,0)+IF(P21=G30,1,0)+IF(P21+G30=0,-1,0)</f>
        <v>2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3">
        <f>IF(Y21&gt;D39,2,0)+IF(Y21=D39,1,0)+IF(Y21+D39=0,-1,0)</f>
        <v>0</v>
      </c>
      <c r="AR22" s="84"/>
      <c r="AS22" s="84"/>
      <c r="AT22" s="84"/>
      <c r="AU22" s="84"/>
      <c r="AV22" s="22"/>
      <c r="AW22" s="204" t="str">
        <f>IF(BF21&lt;&gt;"",CONCATENATE("    ",AJ22,"               ",DF22,"                    ",DG22,"                     ",DH22,"                       ",DI22),"")</f>
        <v xml:space="preserve">    6               0,489                    0,510                     0,568                       4</v>
      </c>
      <c r="AX22" s="84"/>
      <c r="AY22" s="84"/>
      <c r="AZ22" s="84"/>
      <c r="BA22" s="84"/>
      <c r="BB22" s="84"/>
      <c r="BC22" s="203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0,489</v>
      </c>
      <c r="DG22" s="94" t="str">
        <f t="shared" si="19"/>
        <v>0,510</v>
      </c>
      <c r="DH22" s="94" t="str">
        <f t="shared" si="19"/>
        <v>0,568</v>
      </c>
      <c r="DI22" s="94" t="str">
        <f>FIXED(CC21,0,3)</f>
        <v>4</v>
      </c>
      <c r="DJ22" s="205" t="s">
        <v>128</v>
      </c>
      <c r="DK22" s="205" t="s">
        <v>129</v>
      </c>
      <c r="DL22" s="205" t="s">
        <v>130</v>
      </c>
      <c r="DM22" s="205" t="s">
        <v>131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408" t="str">
        <f>J10</f>
        <v>LIVRY</v>
      </c>
      <c r="B23" s="409"/>
      <c r="C23" s="410"/>
      <c r="D23" s="209">
        <f>IF(D21&lt;1,0,D21/F21)</f>
        <v>0.37931034482758619</v>
      </c>
      <c r="E23" s="348">
        <f>IF(H20&lt;&gt;"",H20,"")</f>
        <v>1</v>
      </c>
      <c r="F23" s="330">
        <v>2</v>
      </c>
      <c r="G23" s="207"/>
      <c r="H23" s="207"/>
      <c r="I23" s="208"/>
      <c r="J23" s="209">
        <f>IF(J21&lt;1,0,J21/L21)</f>
        <v>0.44642857142857145</v>
      </c>
      <c r="K23" s="347">
        <v>4</v>
      </c>
      <c r="L23" s="212">
        <v>4</v>
      </c>
      <c r="M23" s="209">
        <f>IF(M21&lt;1,0,M21/O21)</f>
        <v>0.56818181818181823</v>
      </c>
      <c r="N23" s="210">
        <v>2</v>
      </c>
      <c r="O23" s="330">
        <v>4</v>
      </c>
      <c r="P23" s="209">
        <f>IF(P21&lt;1,0,P21/R21)</f>
        <v>0.53191489361702127</v>
      </c>
      <c r="Q23" s="210">
        <v>3</v>
      </c>
      <c r="R23" s="330">
        <v>4</v>
      </c>
      <c r="S23" s="209">
        <f>IF(S21&lt;1,0,S21/U21)</f>
        <v>0</v>
      </c>
      <c r="T23" s="210" t="s">
        <v>173</v>
      </c>
      <c r="U23" s="330"/>
      <c r="V23" s="209">
        <f>IF(V21&lt;1,0,V21/X21)</f>
        <v>0</v>
      </c>
      <c r="W23" s="213"/>
      <c r="X23" s="336"/>
      <c r="Y23" s="215">
        <f>IF(Y21&lt;1,0,Y21/AA21)</f>
        <v>0</v>
      </c>
      <c r="Z23" s="213"/>
      <c r="AA23" s="337"/>
      <c r="AB23" s="217">
        <f>IF(CB21&lt;&gt;"0",CB21,"")</f>
        <v>0.56818181818181823</v>
      </c>
      <c r="AC23" s="218"/>
      <c r="AD23" s="39">
        <f>MAX(F23,I23,L23,O23,R23,U23,X23,AA23)</f>
        <v>4</v>
      </c>
      <c r="AE23" s="22"/>
      <c r="AF23" s="22"/>
      <c r="AG23" s="22"/>
      <c r="AH23" s="22"/>
      <c r="AI23" s="22"/>
      <c r="AJ23" s="202"/>
      <c r="AK23" s="84"/>
      <c r="AL23" s="84"/>
      <c r="AM23" s="84"/>
      <c r="AN23" s="84"/>
      <c r="AO23" s="84"/>
      <c r="AP23" s="84"/>
      <c r="AQ23" s="203"/>
      <c r="AR23" s="84"/>
      <c r="AS23" s="84"/>
      <c r="AT23" s="84"/>
      <c r="AU23" s="84"/>
      <c r="AV23" s="22"/>
      <c r="AW23" s="232">
        <f>IF(OR(E22="G",F22="N"),D23,0)</f>
        <v>0</v>
      </c>
      <c r="AX23" s="233">
        <f>IF(OR(L22="N",K22="G"),J23,0)</f>
        <v>0.44642857142857145</v>
      </c>
      <c r="AY23" s="234">
        <f>IF(OR(O22="N",N22="G"),M23,0)</f>
        <v>0.56818181818181823</v>
      </c>
      <c r="AZ23" s="235">
        <f>IF(OR(R22="N",Q22="G"),P23,0)</f>
        <v>0.53191489361702127</v>
      </c>
      <c r="BA23" s="235">
        <f>IF(OR(U22="N",T22="G"),S23,0)</f>
        <v>0</v>
      </c>
      <c r="BB23" s="235">
        <f>IF(OR(X22="N",V22="G"),V23,0)</f>
        <v>0</v>
      </c>
      <c r="BC23" s="235">
        <f>IF(OR(AA22="N",Y22="G"),Y23,0)</f>
        <v>0</v>
      </c>
      <c r="BD23" s="84" t="s">
        <v>133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411" t="str">
        <f>E11</f>
        <v>EMMANUEL</v>
      </c>
      <c r="B24" s="395"/>
      <c r="C24" s="356"/>
      <c r="D24" s="339">
        <v>9</v>
      </c>
      <c r="E24" s="339"/>
      <c r="F24" s="221">
        <f>IF(J18&lt;&gt;"",L18,"")</f>
        <v>36</v>
      </c>
      <c r="G24" s="338">
        <v>22</v>
      </c>
      <c r="H24" s="339"/>
      <c r="I24" s="221">
        <f>IF(J21&lt;&gt;"",L21,"")</f>
        <v>56</v>
      </c>
      <c r="J24" s="222"/>
      <c r="K24" s="222"/>
      <c r="L24" s="223"/>
      <c r="M24" s="346">
        <v>25</v>
      </c>
      <c r="N24" s="339"/>
      <c r="O24" s="341">
        <v>51</v>
      </c>
      <c r="P24" s="339">
        <v>17</v>
      </c>
      <c r="Q24" s="339"/>
      <c r="R24" s="341">
        <v>47</v>
      </c>
      <c r="S24" s="339"/>
      <c r="T24" s="339"/>
      <c r="U24" s="341"/>
      <c r="V24" s="342"/>
      <c r="W24" s="342"/>
      <c r="X24" s="343"/>
      <c r="Y24" s="344"/>
      <c r="Z24" s="344"/>
      <c r="AA24" s="345"/>
      <c r="AB24" s="24">
        <f>SUM(Y24,V24,S24,P24,M24,J24,G24,D24)</f>
        <v>73</v>
      </c>
      <c r="AC24" s="102"/>
      <c r="AD24" s="46">
        <f>SUM(AA24,X24,U24,R24,O24,L24,I24,F24)</f>
        <v>190</v>
      </c>
      <c r="AE24" s="22"/>
      <c r="AF24" s="22"/>
      <c r="AG24" s="22"/>
      <c r="AH24" s="22"/>
      <c r="AI24" s="22"/>
      <c r="AJ24" s="202"/>
      <c r="AK24" s="84"/>
      <c r="AL24" s="84"/>
      <c r="AM24" s="84"/>
      <c r="AN24" s="84"/>
      <c r="AO24" s="84"/>
      <c r="AP24" s="84"/>
      <c r="AQ24" s="203"/>
      <c r="AR24" s="84"/>
      <c r="AS24" s="84"/>
      <c r="AT24" s="84"/>
      <c r="AU24" s="84"/>
      <c r="AV24" s="22"/>
      <c r="AW24" s="176" t="str">
        <f>IF(BF24&lt;&gt;"",CONCATENATE(BH24,"   ",BI24,"    ( ",BJ24," )"),"")</f>
        <v>DELAPLACE   EMMANUEL    ( LIVRY )</v>
      </c>
      <c r="AX24" s="84"/>
      <c r="AY24" s="84"/>
      <c r="AZ24" s="84"/>
      <c r="BA24" s="84"/>
      <c r="BB24" s="84"/>
      <c r="BC24" s="175"/>
      <c r="BD24" s="84"/>
      <c r="BE24" s="93">
        <f>IF(BF24&lt;&gt;0,RANK(BF24,BF18:BF39),"")</f>
        <v>4</v>
      </c>
      <c r="BF24" s="177">
        <f>IF(AD24&lt;&gt;0,(AJ25*1000000)+(BZ24*1000)+CB24+(CC24/1000),0)</f>
        <v>2000384.704722394</v>
      </c>
      <c r="BG24" s="22"/>
      <c r="BH24" s="178" t="str">
        <f>A11</f>
        <v>DELAPLACE</v>
      </c>
      <c r="BI24" s="179" t="str">
        <f>E11</f>
        <v>EMMANUEL</v>
      </c>
      <c r="BJ24" s="180" t="str">
        <f>J11</f>
        <v>LIVRY</v>
      </c>
      <c r="BK24" s="33"/>
      <c r="BL24" s="227">
        <f>IF(E26=1,D24,IF(H26=1,G24,IF(K26=1,J24,IF(N26=1,M24,IF(Q26=1,P24,IF(T26=1,S24,IF(W26=1,V24,IF(Z26=1,Y24,""))))))))</f>
        <v>17</v>
      </c>
      <c r="BM24" s="228">
        <f>IF(E26=1,F24,IF(H26=1,I24,IF(K26=1,L24,IF(N26=1,O24,IF(Q26=1,R24,IF(T26=1,U24,IF(W26=1,X24,IF(Z26=1,AA24,0))))))))</f>
        <v>47</v>
      </c>
      <c r="BN24" s="112">
        <f>IF(E26=2,D24,IF(H26=2,G24,IF(K26=2,J24,IF(N26=2,M24,IF(Q26=2,P24,IF(T26=2,S24,IF(W26=2,V24,IF(Z26=2,Y24,""))))))))</f>
        <v>9</v>
      </c>
      <c r="BO24" s="229">
        <f>IF(E26=2,F24,IF(H26=2,I24,IF(K26=2,L24,IF(N26=2,O24,IF(Q26=2,R24,IF(T26=2,U24,IF(W26=2,X24,IF(Z26=2,AA24,0))))))))</f>
        <v>36</v>
      </c>
      <c r="BP24" s="112">
        <f>IF(E26=3,D24,IF(H26=3,G24,IF(K26=3,J24,IF(N26=3,M24,IF(Q26=3,P24,IF(T26=3,S24,IF(W26=3,V24,IF(Z26=3,Y24,""))))))))</f>
        <v>22</v>
      </c>
      <c r="BQ24" s="229">
        <f>IF(E26=3,F24,IF(H26=3,I24,IF(K26=3,L24,IF(N26=3,O24,IF(Q26=3,R24,IF(T26=3,U24,IF(W26=3,X24,IF(Z26=3,AA24,0))))))))</f>
        <v>56</v>
      </c>
      <c r="BR24" s="112">
        <f>IF(E26=4,D24,IF(H26=4,G24,IF(K26=4,J24,IF(N26=4,M24,IF(Q26=4,P24,IF(T26=4,S24,IF(W26=4,V24,IF(Z26=4,Y24,""))))))))</f>
        <v>25</v>
      </c>
      <c r="BS24" s="229">
        <f>IF(E26=4,F24,IF(H26=4,I24,IF(K26=4,L24,IF(N26=4,O24,IF(Q26=4,R24,IF(T26=4,U24,IF(W26=4,X24,IF(Z26=4,AA24,0))))))))</f>
        <v>51</v>
      </c>
      <c r="BT24" s="112" t="str">
        <f>IF(E26=5,D24,IF(H26=5,G24,IF(K26=5,J24,IF(N26=5,M24,IF(Q26=5,P24,IF(T26=5,S24,IF(W26=5,V24,IF(Z26=5,Y24,""))))))))</f>
        <v/>
      </c>
      <c r="BU24" s="229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29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29">
        <f>IF(E26=7,F24,IF(H26=7,I24,IF(K26=7,L24,IF(N26=7,O24,IF(Q26=7,R24,IF(T26=7,U24,IF(W26=7,X24,IF(Z26=7,AA24,0))))))))</f>
        <v>0</v>
      </c>
      <c r="BZ24" s="185">
        <f>IF(BM24&lt;&gt;0,SUM(BL24,BN24,BP24,BR24,BT24,BV24,BX24)/SUM(BM24,BO24,BQ24,BS24,BU24,BW24,BY24),"")</f>
        <v>0.38421052631578945</v>
      </c>
      <c r="CA24" s="186">
        <f>IF(BS24&lt;&gt;0,MAX(CI24,CK24,CM24,CO24,CQ24),"")</f>
        <v>0.39160839160839161</v>
      </c>
      <c r="CB24" s="187">
        <f>IF(DD24&gt;0,DD24,0)</f>
        <v>0.49019607843137253</v>
      </c>
      <c r="CC24" s="188">
        <f>IF(AD26&lt;&gt;"",AD26,0)</f>
        <v>4</v>
      </c>
      <c r="CD24" s="167"/>
      <c r="CE24" s="189"/>
      <c r="CF24" s="171">
        <f t="shared" ref="CF24:CG24" si="20">SUM(BL24,BN24,BP24,BR24,BT24,BV24,BX24)</f>
        <v>73</v>
      </c>
      <c r="CG24" s="171">
        <f t="shared" si="20"/>
        <v>190</v>
      </c>
      <c r="CH24" s="189"/>
      <c r="CI24" s="168">
        <f>IF(BQ24&lt;&gt;0,(BL24+BN24+BP24)/(BM24+BO24+BQ24),0)</f>
        <v>0.34532374100719426</v>
      </c>
      <c r="CJ24" s="84"/>
      <c r="CK24" s="84">
        <f>IF(BS24&lt;&gt;0,(BN24+BP24+BR24)/(BO24+BQ24+BS24),0)</f>
        <v>0.39160839160839161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25</v>
      </c>
      <c r="CV24" s="92">
        <f t="shared" si="21"/>
        <v>25</v>
      </c>
      <c r="CW24" s="190" t="str">
        <f>IF(BL24=CV24,(BL24/BM24),IF(AND(BK24&gt;0,BL24=CU24),(BL24/BM24),""))</f>
        <v/>
      </c>
      <c r="CX24" s="190" t="str">
        <f>IF(BN24=CV24,BN24/BO24,IF(AND(BK24&gt;1,BN24=CU24),BN24/BO24,""))</f>
        <v/>
      </c>
      <c r="CY24" s="190" t="str">
        <f>IF(BP24=CV24,BP24/BQ24,IF(AND(BK24=3,BP24=CU24),BP24/BQ24,IF(AND(BK24=4,BP24=CU24),BP24/BQ24,"")))</f>
        <v/>
      </c>
      <c r="CZ24" s="190">
        <f>IF(BR24=CV24,BR24/BS24,IF(AND(BK24=4,BR24=CU24),BR24/BS24,""))</f>
        <v>0.49019607843137253</v>
      </c>
      <c r="DA24" s="190" t="str">
        <f>IF(BT24=CV24,(BT24/BU24),"")</f>
        <v/>
      </c>
      <c r="DB24" s="190" t="str">
        <f>IF(BV24=CU24,(BV24/BW24),"")</f>
        <v/>
      </c>
      <c r="DC24" s="190" t="str">
        <f>IF(BX24=CV24,(BX24/BY24),"")</f>
        <v/>
      </c>
      <c r="DD24" s="190">
        <f>MAX(CW24:DC24)</f>
        <v>0.49019607843137253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407" t="str">
        <f>A11</f>
        <v>DELAPLACE</v>
      </c>
      <c r="B25" s="395"/>
      <c r="C25" s="356"/>
      <c r="D25" s="156"/>
      <c r="E25" s="195" t="str">
        <f>IF(AK25=2,"G"," ")</f>
        <v xml:space="preserve"> </v>
      </c>
      <c r="F25" s="196" t="str">
        <f>IF(AK25=1,"N","")</f>
        <v/>
      </c>
      <c r="G25" s="156"/>
      <c r="H25" s="195" t="str">
        <f>IF(AL25=2,"G"," ")</f>
        <v xml:space="preserve"> </v>
      </c>
      <c r="I25" s="197" t="str">
        <f>IF(AL25=1,"N","")</f>
        <v/>
      </c>
      <c r="J25" s="193"/>
      <c r="K25" s="193"/>
      <c r="L25" s="194"/>
      <c r="M25" s="156"/>
      <c r="N25" s="195" t="str">
        <f>IF(AM25=2,"G"," ")</f>
        <v>G</v>
      </c>
      <c r="O25" s="196" t="s">
        <v>134</v>
      </c>
      <c r="P25" s="156"/>
      <c r="Q25" s="195" t="str">
        <f>IF(AN25=2,"G"," ")</f>
        <v xml:space="preserve"> </v>
      </c>
      <c r="R25" s="196" t="str">
        <f>IF(AN25=1,"N","")</f>
        <v/>
      </c>
      <c r="S25" s="156"/>
      <c r="T25" s="195" t="str">
        <f>IF(AO25=2,"G"," ")</f>
        <v xml:space="preserve"> </v>
      </c>
      <c r="U25" s="197" t="str">
        <f>IF(AO25=1,"N","")</f>
        <v/>
      </c>
      <c r="V25" s="198" t="str">
        <f>IF(AP25=2,"G"," ")</f>
        <v xml:space="preserve"> </v>
      </c>
      <c r="W25" s="198"/>
      <c r="X25" s="197" t="str">
        <f>IF(AP25=1,"N","")</f>
        <v/>
      </c>
      <c r="Y25" s="199" t="str">
        <f>IF(AQ25=2,"G"," ")</f>
        <v xml:space="preserve"> </v>
      </c>
      <c r="Z25" s="198"/>
      <c r="AA25" s="200" t="str">
        <f>IF(AQ25=1,"N","")</f>
        <v/>
      </c>
      <c r="AB25" s="24"/>
      <c r="AC25" s="201">
        <f>IF(AD24&lt;1,0,AB24/AD24)</f>
        <v>0.38421052631578945</v>
      </c>
      <c r="AD25" s="46"/>
      <c r="AE25" s="22"/>
      <c r="AF25" s="22"/>
      <c r="AG25" s="22"/>
      <c r="AH25" s="22"/>
      <c r="AI25" s="22"/>
      <c r="AJ25" s="202">
        <f>SUM(AK25:AQ25)</f>
        <v>2</v>
      </c>
      <c r="AK25" s="84">
        <f>IF(D24&gt;J18,2,0)+IF(D24=J18,1,0)+IF(D24+J18=0,-1,0)</f>
        <v>0</v>
      </c>
      <c r="AL25" s="84">
        <f>IF(G24&gt;J21,2,0)+IF(G24=J21,1,0)+IF(G24+J21=0,-1,0)</f>
        <v>0</v>
      </c>
      <c r="AM25" s="84">
        <f>IF(M24&gt;J27,2,0)+IF(M24=J27,1,0)+IF(M24+J27=0,-1,0)</f>
        <v>2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3">
        <f>IF(Y24&gt;J39,2,0)+IF(Y24=J39,1,0)+IF(Y24+J39=0,-1,0)</f>
        <v>0</v>
      </c>
      <c r="AR25" s="84"/>
      <c r="AS25" s="84"/>
      <c r="AT25" s="84"/>
      <c r="AU25" s="84"/>
      <c r="AV25" s="22"/>
      <c r="AW25" s="204" t="str">
        <f>IF(BF24&lt;&gt;"",CONCATENATE("    ",AJ25,"               ",DF25,"                    ",DG25,"                     ",DH25,"                       ",DI25),"")</f>
        <v xml:space="preserve">    2               0,384                    0,392                     0,490                       4</v>
      </c>
      <c r="AX25" s="84"/>
      <c r="AY25" s="84"/>
      <c r="AZ25" s="84"/>
      <c r="BA25" s="84"/>
      <c r="BB25" s="84"/>
      <c r="BC25" s="203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0,384</v>
      </c>
      <c r="DG25" s="94" t="str">
        <f t="shared" si="22"/>
        <v>0,392</v>
      </c>
      <c r="DH25" s="94" t="str">
        <f t="shared" si="22"/>
        <v>0,490</v>
      </c>
      <c r="DI25" s="94" t="str">
        <f>FIXED(CC24,0,3)</f>
        <v>4</v>
      </c>
      <c r="DJ25" s="205" t="s">
        <v>128</v>
      </c>
      <c r="DK25" s="205" t="s">
        <v>129</v>
      </c>
      <c r="DL25" s="205" t="s">
        <v>130</v>
      </c>
      <c r="DM25" s="205" t="s">
        <v>131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408" t="str">
        <f>J11</f>
        <v>LIVRY</v>
      </c>
      <c r="B26" s="409"/>
      <c r="C26" s="410"/>
      <c r="D26" s="209">
        <f>IF(D24&lt;1,0,D24/F24)</f>
        <v>0.25</v>
      </c>
      <c r="E26" s="231">
        <f>IF(K20&lt;&gt;"",K20,"")</f>
        <v>2</v>
      </c>
      <c r="F26" s="330">
        <v>1</v>
      </c>
      <c r="G26" s="209">
        <f>IF(G24&lt;1,0,G24/I24)</f>
        <v>0.39285714285714285</v>
      </c>
      <c r="H26" s="231">
        <v>3</v>
      </c>
      <c r="I26" s="334">
        <v>2</v>
      </c>
      <c r="J26" s="207"/>
      <c r="K26" s="207"/>
      <c r="L26" s="208"/>
      <c r="M26" s="209">
        <f>IF(M24&lt;1,0,M24/O24)</f>
        <v>0.49019607843137253</v>
      </c>
      <c r="N26" s="347">
        <v>4</v>
      </c>
      <c r="O26" s="330">
        <v>4</v>
      </c>
      <c r="P26" s="209">
        <f>IF(P24&lt;1,0,P24/R24)</f>
        <v>0.36170212765957449</v>
      </c>
      <c r="Q26" s="210">
        <v>1</v>
      </c>
      <c r="R26" s="330">
        <v>3</v>
      </c>
      <c r="S26" s="209">
        <f>IF(S24&lt;1,0,S24/U24)</f>
        <v>0</v>
      </c>
      <c r="T26" s="210" t="s">
        <v>173</v>
      </c>
      <c r="U26" s="330"/>
      <c r="V26" s="209">
        <f>IF(V24&lt;1,0,V24/X24)</f>
        <v>0</v>
      </c>
      <c r="W26" s="213"/>
      <c r="X26" s="336"/>
      <c r="Y26" s="215">
        <f>IF(Y24&lt;1,0,Y24/AA24)</f>
        <v>0</v>
      </c>
      <c r="Z26" s="213"/>
      <c r="AA26" s="337"/>
      <c r="AB26" s="217">
        <f>IF(CB24&lt;&gt;"0",CB24,"")</f>
        <v>0.49019607843137253</v>
      </c>
      <c r="AC26" s="218"/>
      <c r="AD26" s="39">
        <f>MAX(F26,I26,L26,O26,R26,U26,X26,AA26)</f>
        <v>4</v>
      </c>
      <c r="AE26" s="22"/>
      <c r="AF26" s="22"/>
      <c r="AG26" s="22"/>
      <c r="AH26" s="22"/>
      <c r="AI26" s="22"/>
      <c r="AJ26" s="202"/>
      <c r="AK26" s="84"/>
      <c r="AL26" s="84"/>
      <c r="AM26" s="84"/>
      <c r="AN26" s="84"/>
      <c r="AO26" s="84"/>
      <c r="AP26" s="84"/>
      <c r="AQ26" s="203"/>
      <c r="AR26" s="84"/>
      <c r="AS26" s="84"/>
      <c r="AT26" s="84"/>
      <c r="AU26" s="84"/>
      <c r="AV26" s="22"/>
      <c r="AW26" s="236">
        <f>IF(OR(F25="N",E25="G"),D26,0)</f>
        <v>0</v>
      </c>
      <c r="AX26" s="237">
        <f>IF(OR(I25="N",H25="G"),G26,0)</f>
        <v>0</v>
      </c>
      <c r="AY26" s="219">
        <f>IF(OR(O25="N",N25="G"),M26,0)</f>
        <v>0.49019607843137253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133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customHeight="1" thickBot="1" x14ac:dyDescent="0.4">
      <c r="A27" s="411" t="str">
        <f>E12</f>
        <v>SERGE</v>
      </c>
      <c r="B27" s="395"/>
      <c r="C27" s="356"/>
      <c r="D27" s="338">
        <v>11</v>
      </c>
      <c r="E27" s="339"/>
      <c r="F27" s="221">
        <f>IF(M18&lt;&gt;"",O18,"")</f>
        <v>37</v>
      </c>
      <c r="G27" s="339">
        <v>21</v>
      </c>
      <c r="H27" s="339"/>
      <c r="I27" s="221">
        <f>IF(M21&lt;&gt;"",O21,"")</f>
        <v>44</v>
      </c>
      <c r="J27" s="339">
        <v>18</v>
      </c>
      <c r="K27" s="339"/>
      <c r="L27" s="221">
        <v>51</v>
      </c>
      <c r="M27" s="222"/>
      <c r="N27" s="222"/>
      <c r="O27" s="223"/>
      <c r="P27" s="220">
        <v>17</v>
      </c>
      <c r="Q27" s="220"/>
      <c r="R27" s="221">
        <v>45</v>
      </c>
      <c r="S27" s="220"/>
      <c r="T27" s="220"/>
      <c r="U27" s="221"/>
      <c r="V27" s="49"/>
      <c r="W27" s="49"/>
      <c r="X27" s="224"/>
      <c r="Y27" s="225"/>
      <c r="Z27" s="225"/>
      <c r="AA27" s="226"/>
      <c r="AB27" s="24">
        <f>SUM(Y27,V27,S27,P27,M27,J27,G27,D27)</f>
        <v>67</v>
      </c>
      <c r="AC27" s="102"/>
      <c r="AD27" s="46">
        <f>SUM(AA27,X27,U27,R27,O27,L27,I27,F27)</f>
        <v>177</v>
      </c>
      <c r="AE27" s="22"/>
      <c r="AF27" s="22"/>
      <c r="AG27" s="22"/>
      <c r="AH27" s="22"/>
      <c r="AI27" s="22"/>
      <c r="AJ27" s="202"/>
      <c r="AK27" s="84"/>
      <c r="AL27" s="84"/>
      <c r="AM27" s="84"/>
      <c r="AN27" s="84"/>
      <c r="AO27" s="84"/>
      <c r="AP27" s="84"/>
      <c r="AQ27" s="203"/>
      <c r="AR27" s="84"/>
      <c r="AS27" s="84"/>
      <c r="AT27" s="84"/>
      <c r="AU27" s="84"/>
      <c r="AV27" s="22"/>
      <c r="AW27" s="176" t="str">
        <f>IF(BF27&lt;&gt;"",CONCATENATE(BH27,"   ",BI27,"    ( ",BJ27," )"),"")</f>
        <v>RIEGEL   SERGE    ( ABASM )</v>
      </c>
      <c r="AX27" s="84"/>
      <c r="AY27" s="84"/>
      <c r="AZ27" s="84"/>
      <c r="BA27" s="84"/>
      <c r="BB27" s="84"/>
      <c r="BC27" s="175"/>
      <c r="BD27" s="84"/>
      <c r="BE27" s="93">
        <f>IF(BF27&lt;&gt;0,RANK(BF27,BF18:BF39),"")</f>
        <v>5</v>
      </c>
      <c r="BF27" s="177">
        <f>IF(AD27&lt;&gt;0,(AJ28*1000000)+(BZ27*1000)+CB27+(CC27/1000),0)</f>
        <v>378.53507344632771</v>
      </c>
      <c r="BG27" s="22"/>
      <c r="BH27" s="178" t="str">
        <f>A12</f>
        <v>RIEGEL</v>
      </c>
      <c r="BI27" s="179" t="str">
        <f>E12</f>
        <v>SERGE</v>
      </c>
      <c r="BJ27" s="180" t="str">
        <f>J12</f>
        <v>ABASM</v>
      </c>
      <c r="BK27" s="33"/>
      <c r="BL27" s="238">
        <f>IF(E29=1,D27,IF(H29=1,G27,IF(K29=1,J27,IF(N29=1,M27,IF(Q29=1,P27,IF(T29=1,S27,IF(W29=1,V27,IF(Z29=1,Y27,""))))))))</f>
        <v>18</v>
      </c>
      <c r="BM27" s="228">
        <f>IF(E29=1,F27,IF(H29=1,I27,IF(K29=1,L27,IF(N29=1,O27,IF(Q29=1,R27,IF(T29=1,U27,IF(W29=1,X27,IF(Z29=1,AA27,0))))))))</f>
        <v>51</v>
      </c>
      <c r="BN27" s="112">
        <f>IF(E29=2,D27,IF(H29=2,G27,IF(K29=2,J27,IF(N29=2,M27,IF(Q29=2,P27,IF(T29=2,S27,IF(W29=2,V27,IF(Z29=2,Y27,""))))))))</f>
        <v>17</v>
      </c>
      <c r="BO27" s="229">
        <f>IF(E29=2,F27,IF(H29=2,I27,IF(K29=2,L27,IF(N29=2,O27,IF(Q29=2,R27,IF(T29=2,U27,IF(W29=2,X27,IF(Z29=2,AA27,0))))))))</f>
        <v>45</v>
      </c>
      <c r="BP27" s="112">
        <f>IF(E29=3,D27,IF(H29=3,G27,IF(K29=3,J27,IF(N29=3,M27,IF(Q29=3,P27,IF(T29=3,S27,IF(W29=3,V27,IF(Z29=3,Y27,""))))))))</f>
        <v>11</v>
      </c>
      <c r="BQ27" s="229">
        <f>IF(E29=3,F27,IF(H29=3,I27,IF(K29=3,L27,IF(N29=3,O27,IF(Q29=3,R27,IF(T29=3,U27,IF(W29=3,X27,IF(Z29=3,AA27,0))))))))</f>
        <v>37</v>
      </c>
      <c r="BR27" s="112">
        <f>IF(E29=4,D27,IF(H29=4,G27,IF(K29=4,J27,IF(N29=4,M27,IF(Q29=4,P27,IF(T29=4,S27,IF(W29=4,V27,IF(Z29=4,Y27,""))))))))</f>
        <v>21</v>
      </c>
      <c r="BS27" s="229">
        <f>IF(E29=4,F27,IF(H29=4,I27,IF(K29=4,L27,IF(N29=4,O27,IF(Q29=4,R27,IF(T29=4,U27,IF(W29=4,X27,IF(Z29=4,AA27,0))))))))</f>
        <v>44</v>
      </c>
      <c r="BT27" s="112" t="str">
        <f>IF(E29=5,D27,IF(H29=5,G27,IF(K29=5,J27,IF(N29=5,M27,IF(Q29=5,P27,IF(T29=5,S27,IF(W29=5,V27,IF(Z29=5,Y27,""))))))))</f>
        <v/>
      </c>
      <c r="BU27" s="229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29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29">
        <f>IF(E29=7,F27,IF(H29=7,I27,IF(K29=7,L27,IF(N29=7,O27,IF(Q29=7,R27,IF(T29=7,U27,IF(W29=7,X27,IF(Z29=7,AA27,0))))))))</f>
        <v>0</v>
      </c>
      <c r="BZ27" s="185">
        <f>IF(BM27&lt;&gt;0,SUM(BL27,BN27,BP27,BR27,BT27,BV27,BX27)/SUM(BM27,BO27,BQ27,BS27,BU27,BW27,BY27),"")</f>
        <v>0.37853107344632769</v>
      </c>
      <c r="CA27" s="186">
        <f>IF(BS27&lt;&gt;0,MAX(CI27,CK27,CM27,CO27,CQ27),"")</f>
        <v>0.3888888888888889</v>
      </c>
      <c r="CB27" s="187">
        <f>IF(DD27&gt;0,DD27,0)</f>
        <v>0</v>
      </c>
      <c r="CC27" s="188">
        <f>IF(AD29&lt;&gt;"",AD29,0)</f>
        <v>4</v>
      </c>
      <c r="CD27" s="167"/>
      <c r="CE27" s="189"/>
      <c r="CF27" s="171">
        <f t="shared" ref="CF27:CG27" si="23">SUM(BL27,BN27,BP27,BR27,BT27,BV27,BX27)</f>
        <v>67</v>
      </c>
      <c r="CG27" s="171">
        <f t="shared" si="23"/>
        <v>177</v>
      </c>
      <c r="CH27" s="189"/>
      <c r="CI27" s="168">
        <f>IF(BQ27&lt;&gt;0,(BL27+BN27+BP27)/(BM27+BO27+BQ27),0)</f>
        <v>0.34586466165413532</v>
      </c>
      <c r="CJ27" s="84"/>
      <c r="CK27" s="84">
        <f>IF(BS27&lt;&gt;0,(BN27+BP27+BR27)/(BO27+BQ27+BS27),0)</f>
        <v>0.3888888888888889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25</v>
      </c>
      <c r="CV27" s="92">
        <f t="shared" si="24"/>
        <v>25</v>
      </c>
      <c r="CW27" s="190" t="str">
        <f>IF(BL27=CV27,(BL27/BM27),IF(AND(BK27&gt;0,BL27=CU27),(BL27/BM27),""))</f>
        <v/>
      </c>
      <c r="CX27" s="190" t="str">
        <f>IF(BN27=CV27,BN27/BO27,IF(AND(BK27&gt;1,BN27=CU27),BN27/BO27,""))</f>
        <v/>
      </c>
      <c r="CY27" s="190" t="str">
        <f>IF(BP27=CV27,BP27/BQ27,IF(AND(BK27=3,BP27=CU27),BP27/BQ27,IF(AND(BK27=4,BP27=CU27),BP27/BQ27,"")))</f>
        <v/>
      </c>
      <c r="CZ27" s="190" t="str">
        <f>IF(BR27=CV27,BR27/BS27,IF(AND(BK27=4,BR27=CU27),BR27/BS27,""))</f>
        <v/>
      </c>
      <c r="DA27" s="190" t="str">
        <f>IF(BT27=CV27,(BT27/BU27),"")</f>
        <v/>
      </c>
      <c r="DB27" s="190" t="str">
        <f>IF(BV27=CU27,(BV27/BW27),"")</f>
        <v/>
      </c>
      <c r="DC27" s="190" t="str">
        <f>IF(BX27=CV27,(BX27/BY27),"")</f>
        <v/>
      </c>
      <c r="DD27" s="190">
        <f>MAX(CW27:DC27)</f>
        <v>0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customHeight="1" thickBot="1" x14ac:dyDescent="0.45">
      <c r="A28" s="407" t="str">
        <f>A12</f>
        <v>RIEGEL</v>
      </c>
      <c r="B28" s="395"/>
      <c r="C28" s="356"/>
      <c r="D28" s="156"/>
      <c r="E28" s="195" t="str">
        <f>IF(AK28=2,"G"," ")</f>
        <v xml:space="preserve"> </v>
      </c>
      <c r="F28" s="196" t="str">
        <f>IF(AK28=1,"N","")</f>
        <v/>
      </c>
      <c r="G28" s="156"/>
      <c r="H28" s="195" t="str">
        <f>IF(AL28=2,"G"," ")</f>
        <v xml:space="preserve"> </v>
      </c>
      <c r="I28" s="197" t="str">
        <f>IF(AL28=1,"N","")</f>
        <v/>
      </c>
      <c r="J28" s="156"/>
      <c r="K28" s="195" t="str">
        <f>IF(AM28=2,"G"," ")</f>
        <v xml:space="preserve"> </v>
      </c>
      <c r="L28" s="197" t="str">
        <f>IF(AM28=1,"N","")</f>
        <v/>
      </c>
      <c r="M28" s="193"/>
      <c r="N28" s="193"/>
      <c r="O28" s="194"/>
      <c r="P28" s="156"/>
      <c r="Q28" s="195" t="str">
        <f>IF(AN28=2,"G"," ")</f>
        <v xml:space="preserve"> </v>
      </c>
      <c r="R28" s="196" t="str">
        <f>IF(AN28=1,"N","")</f>
        <v/>
      </c>
      <c r="S28" s="156"/>
      <c r="T28" s="195" t="str">
        <f>IF(AO28=2,"G"," ")</f>
        <v xml:space="preserve"> </v>
      </c>
      <c r="U28" s="197" t="str">
        <f>IF(AO28=1,"N","")</f>
        <v/>
      </c>
      <c r="V28" s="198" t="str">
        <f>IF(AP28=2,"G"," ")</f>
        <v xml:space="preserve"> </v>
      </c>
      <c r="W28" s="198"/>
      <c r="X28" s="197" t="str">
        <f>IF(AP28=1,"N","")</f>
        <v/>
      </c>
      <c r="Y28" s="199" t="str">
        <f>IF(AQ28=2,"G"," ")</f>
        <v xml:space="preserve"> </v>
      </c>
      <c r="Z28" s="198"/>
      <c r="AA28" s="200" t="str">
        <f>IF(AQ28=1,"N","")</f>
        <v/>
      </c>
      <c r="AB28" s="24"/>
      <c r="AC28" s="201">
        <f>IF(AD27&lt;1,0,AB27/AD27)</f>
        <v>0.37853107344632769</v>
      </c>
      <c r="AD28" s="46"/>
      <c r="AE28" s="22"/>
      <c r="AF28" s="22"/>
      <c r="AG28" s="22"/>
      <c r="AH28" s="22"/>
      <c r="AI28" s="22"/>
      <c r="AJ28" s="202">
        <f>SUM(AK28:AQ28)</f>
        <v>0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0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3">
        <f>IF(Y27&gt;M39,2,0)+IF(Y27=M39,1,0)+IF(Y27+M39=0,-1,0)</f>
        <v>0</v>
      </c>
      <c r="AR28" s="84"/>
      <c r="AS28" s="84"/>
      <c r="AT28" s="84"/>
      <c r="AU28" s="84"/>
      <c r="AV28" s="22"/>
      <c r="AW28" s="204" t="str">
        <f>IF(BF27&lt;&gt;"",CONCATENATE("    ",AJ28,"               ",DF28,"                    ",DG28,"                     ",DH28,"                       ",DI28),"")</f>
        <v xml:space="preserve">    0               0,379                    0,389                     0,000                       4</v>
      </c>
      <c r="AX28" s="84"/>
      <c r="AY28" s="84"/>
      <c r="AZ28" s="84"/>
      <c r="BA28" s="84"/>
      <c r="BB28" s="84"/>
      <c r="BC28" s="203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str">
        <f t="shared" ref="DF28:DH28" si="25">FIXED(BZ27,3,6)</f>
        <v>0,379</v>
      </c>
      <c r="DG28" s="94" t="str">
        <f t="shared" si="25"/>
        <v>0,389</v>
      </c>
      <c r="DH28" s="94" t="str">
        <f t="shared" si="25"/>
        <v>0,000</v>
      </c>
      <c r="DI28" s="94" t="str">
        <f>FIXED(CC27,0,3)</f>
        <v>4</v>
      </c>
      <c r="DJ28" s="205" t="s">
        <v>128</v>
      </c>
      <c r="DK28" s="205" t="s">
        <v>129</v>
      </c>
      <c r="DL28" s="205" t="s">
        <v>130</v>
      </c>
      <c r="DM28" s="205" t="s">
        <v>131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customHeight="1" thickBot="1" x14ac:dyDescent="0.4">
      <c r="A29" s="408" t="str">
        <f>J12</f>
        <v>ABASM</v>
      </c>
      <c r="B29" s="409"/>
      <c r="C29" s="410"/>
      <c r="D29" s="209">
        <f>IF(D27&lt;1,0,D27/F27)</f>
        <v>0.29729729729729731</v>
      </c>
      <c r="E29" s="231">
        <f>IF(N20&lt;&gt;"",N20,"")</f>
        <v>3</v>
      </c>
      <c r="F29" s="334">
        <v>2</v>
      </c>
      <c r="G29" s="209">
        <f>IF(G27&lt;1,0,G27/I27)</f>
        <v>0.47727272727272729</v>
      </c>
      <c r="H29" s="231">
        <v>4</v>
      </c>
      <c r="I29" s="330">
        <v>3</v>
      </c>
      <c r="J29" s="209">
        <f>IF(J27&lt;1,0,J27/L27)</f>
        <v>0.35294117647058826</v>
      </c>
      <c r="K29" s="231">
        <v>1</v>
      </c>
      <c r="L29" s="330">
        <v>4</v>
      </c>
      <c r="M29" s="207"/>
      <c r="N29" s="207"/>
      <c r="O29" s="208"/>
      <c r="P29" s="209">
        <f>IF(P27&lt;1,0,P27/R27)</f>
        <v>0.37777777777777777</v>
      </c>
      <c r="Q29" s="347">
        <v>2</v>
      </c>
      <c r="R29" s="211">
        <v>4</v>
      </c>
      <c r="S29" s="209">
        <f>IF(S27&lt;1,0,S27/U27)</f>
        <v>0</v>
      </c>
      <c r="T29" s="210" t="s">
        <v>173</v>
      </c>
      <c r="U29" s="211"/>
      <c r="V29" s="209">
        <f>IF(V27&lt;1,0,V27/X27)</f>
        <v>0</v>
      </c>
      <c r="W29" s="213"/>
      <c r="X29" s="214"/>
      <c r="Y29" s="215">
        <f>IF(Y27&lt;1,0,Y27/AA27)</f>
        <v>0</v>
      </c>
      <c r="Z29" s="213"/>
      <c r="AA29" s="216"/>
      <c r="AB29" s="217">
        <f>IF(CB27&lt;&gt;"0",CB27,"")</f>
        <v>0</v>
      </c>
      <c r="AC29" s="218"/>
      <c r="AD29" s="39">
        <f>MAX(F29,I29,L29,O29,R29,U29,X29,AA29)</f>
        <v>4</v>
      </c>
      <c r="AE29" s="22"/>
      <c r="AF29" s="22"/>
      <c r="AG29" s="22"/>
      <c r="AH29" s="22"/>
      <c r="AI29" s="22"/>
      <c r="AJ29" s="202"/>
      <c r="AK29" s="84"/>
      <c r="AL29" s="84"/>
      <c r="AM29" s="84"/>
      <c r="AN29" s="84"/>
      <c r="AO29" s="84"/>
      <c r="AP29" s="84"/>
      <c r="AQ29" s="203"/>
      <c r="AR29" s="84"/>
      <c r="AS29" s="84"/>
      <c r="AT29" s="84"/>
      <c r="AU29" s="84"/>
      <c r="AV29" s="22"/>
      <c r="AW29" s="236">
        <f>IF(OR(E28="G",F28="N"),D29,0)</f>
        <v>0</v>
      </c>
      <c r="AX29" s="239">
        <f>IF(OR(I28="N",H28="G"),G29,0)</f>
        <v>0</v>
      </c>
      <c r="AY29" s="236">
        <f>IF(OR(K28="G",L28="N"),J29,0)</f>
        <v>0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133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customHeight="1" thickBot="1" x14ac:dyDescent="0.4">
      <c r="A30" s="411" t="str">
        <f>E13</f>
        <v>DENIS</v>
      </c>
      <c r="B30" s="395"/>
      <c r="C30" s="356"/>
      <c r="D30" s="220">
        <v>25</v>
      </c>
      <c r="E30" s="339"/>
      <c r="F30" s="221">
        <v>47</v>
      </c>
      <c r="G30" s="220">
        <v>13</v>
      </c>
      <c r="H30" s="339"/>
      <c r="I30" s="221">
        <f>IF(P21&lt;&gt;"",R21,"")</f>
        <v>47</v>
      </c>
      <c r="J30" s="220">
        <v>25</v>
      </c>
      <c r="K30" s="339"/>
      <c r="L30" s="221">
        <v>47</v>
      </c>
      <c r="M30" s="339">
        <v>25</v>
      </c>
      <c r="N30" s="339"/>
      <c r="O30" s="221">
        <v>45</v>
      </c>
      <c r="P30" s="222"/>
      <c r="Q30" s="222"/>
      <c r="R30" s="223"/>
      <c r="S30" s="339"/>
      <c r="T30" s="339"/>
      <c r="U30" s="341"/>
      <c r="V30" s="342"/>
      <c r="W30" s="342"/>
      <c r="X30" s="343" t="s">
        <v>135</v>
      </c>
      <c r="Y30" s="344"/>
      <c r="Z30" s="344"/>
      <c r="AA30" s="345"/>
      <c r="AB30" s="24">
        <f>SUM(Y30,V30,S30,P30,M30,J30,G30,D30)</f>
        <v>88</v>
      </c>
      <c r="AC30" s="102"/>
      <c r="AD30" s="46">
        <f>SUM(AA30,X30,U30,R30,O30,L30,I30,F30)</f>
        <v>186</v>
      </c>
      <c r="AE30" s="22"/>
      <c r="AF30" s="22"/>
      <c r="AG30" s="22"/>
      <c r="AH30" s="22"/>
      <c r="AI30" s="22"/>
      <c r="AJ30" s="202"/>
      <c r="AK30" s="84"/>
      <c r="AL30" s="84"/>
      <c r="AM30" s="84"/>
      <c r="AN30" s="84"/>
      <c r="AO30" s="84"/>
      <c r="AP30" s="84"/>
      <c r="AQ30" s="203"/>
      <c r="AR30" s="84"/>
      <c r="AS30" s="84"/>
      <c r="AT30" s="84"/>
      <c r="AU30" s="84"/>
      <c r="AV30" s="22"/>
      <c r="AW30" s="176" t="str">
        <f>IF(BF30&lt;&gt;"",CONCATENATE(BH30,"   ",BI30,"    ( ",BJ30," )"),"")</f>
        <v>HELLAL   DENIS    ( ABASM )</v>
      </c>
      <c r="AX30" s="84"/>
      <c r="AY30" s="84"/>
      <c r="AZ30" s="84"/>
      <c r="BA30" s="84"/>
      <c r="BB30" s="84"/>
      <c r="BC30" s="175"/>
      <c r="BD30" s="84"/>
      <c r="BE30" s="93">
        <f>IF(BF30&lt;&gt;0,RANK(BF30,BF18:BF39),"")</f>
        <v>3</v>
      </c>
      <c r="BF30" s="22">
        <f>IF(AD30&lt;&gt;0,(AJ31*1000000)+(BZ30*1000)+CB30+(CC30/1000),0)</f>
        <v>6000473.6788351256</v>
      </c>
      <c r="BG30" s="22"/>
      <c r="BH30" s="178" t="str">
        <f>A13</f>
        <v>HELLAL</v>
      </c>
      <c r="BI30" s="179" t="str">
        <f>E13</f>
        <v>DENIS</v>
      </c>
      <c r="BJ30" s="180" t="str">
        <f>J13</f>
        <v>ABASM</v>
      </c>
      <c r="BK30" s="33"/>
      <c r="BL30" s="238">
        <f>IF(E32=1,D30,IF(H32=1,G30,IF(K32=1,J30,IF(N32=1,M30,IF(Q32=1,P30,IF(T32=1,S30,IF(W32=1,V30,IF(Z32=1,Y30,""))))))))</f>
        <v>25</v>
      </c>
      <c r="BM30" s="228">
        <f>IF(E32=1,F30,IF(H32=1,I30,IF(K32=1,L30,IF(N32=1,O30,IF(Q32=1,R30,IF(T32=1,U30,IF(W32=1,X30,IF(Z32=1,AA30,0))))))))</f>
        <v>45</v>
      </c>
      <c r="BN30" s="112">
        <f>IF(E32=2,D30,IF(H32=2,G30,IF(K32=2,J30,IF(N32=2,M30,IF(Q32=2,P30,IF(T32=2,S30,IF(W32=2,V30,IF(Z32=2,Y30,""))))))))</f>
        <v>13</v>
      </c>
      <c r="BO30" s="229">
        <f>IF(E32=2,F30,IF(H32=2,I30,IF(K32=2,L30,IF(N32=2,O30,IF(Q32=2,R30,IF(T32=2,U30,IF(W32=2,X30,IF(Z32=2,AA30,0))))))))</f>
        <v>47</v>
      </c>
      <c r="BP30" s="112">
        <f>IF(E32=3,D30,IF(H32=3,G30,IF(K32=3,J30,IF(N32=3,M30,IF(Q32=3,P30,IF(T32=3,S30,IF(W32=3,V30,IF(Z32=3,Y30,""))))))))</f>
        <v>25</v>
      </c>
      <c r="BQ30" s="229">
        <f>IF(E32=3,F30,IF(H32=3,I30,IF(K32=3,L30,IF(N32=3,O30,IF(Q32=3,R30,IF(T32=3,U30,IF(W32=3,X30,IF(Z32=3,AA30,0))))))))</f>
        <v>47</v>
      </c>
      <c r="BR30" s="112">
        <f>IF(E32=4,D30,IF(H32=4,G30,IF(K32=4,J30,IF(N32=4,M30,IF(Q32=4,P30,IF(T32=4,S30,IF(W32=4,V30,IF(Z32=4,Y30,""))))))))</f>
        <v>25</v>
      </c>
      <c r="BS30" s="229">
        <f>IF(E32=4,F30,IF(H32=4,I30,IF(K32=4,L30,IF(N32=4,O30,IF(Q32=4,R30,IF(T32=4,U30,IF(W32=4,X30,IF(Z32=4,AA30,0))))))))</f>
        <v>47</v>
      </c>
      <c r="BT30" s="112" t="str">
        <f>IF(E32=5,D30,IF(H32=5,G30,IF(K32=5,J30,IF(N32=5,M30,IF(Q32=5,P30,IF(T32=5,S30,IF(W32=5,V30,IF(Z32=5,Y30,""))))))))</f>
        <v/>
      </c>
      <c r="BU30" s="229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29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29">
        <f>IF(E32=7,F30,IF(H32=7,I30,IF(K32=7,L30,IF(N32=7,O30,IF(Q32=7,R30,IF(T32=7,U30,IF(W32=7,X30,IF(Z32=7,AA30,0))))))))</f>
        <v>0</v>
      </c>
      <c r="BZ30" s="185">
        <f>IF(BM30&lt;&gt;0,SUM(BL30,BN30,BP30,BR30,BT30,BV30,BX30)/SUM(BM30,BO30,BQ30,BS30,BU30,BW30,BY30),"")</f>
        <v>0.4731182795698925</v>
      </c>
      <c r="CA30" s="186">
        <f>IF(BS30&lt;&gt;0,MAX(CI30,CK30,CM30,CO30,CQ30),"")</f>
        <v>0.45323741007194246</v>
      </c>
      <c r="CB30" s="187">
        <f>IF(DD30&gt;0,DD30,0)</f>
        <v>0.55555555555555558</v>
      </c>
      <c r="CC30" s="188">
        <f>IF(AD32&lt;&gt;"",AD32,0)</f>
        <v>5</v>
      </c>
      <c r="CD30" s="167"/>
      <c r="CE30" s="189"/>
      <c r="CF30" s="171">
        <f t="shared" ref="CF30:CG30" si="26">SUM(BL30,BN30,BP30,BR30,BT30,BV30,BX30)</f>
        <v>88</v>
      </c>
      <c r="CG30" s="171">
        <f t="shared" si="26"/>
        <v>186</v>
      </c>
      <c r="CH30" s="189"/>
      <c r="CI30" s="168">
        <f>IF(BQ30&lt;&gt;0,(BL30+BN30+BP30)/(BM30+BO30+BQ30),0)</f>
        <v>0.45323741007194246</v>
      </c>
      <c r="CJ30" s="84"/>
      <c r="CK30" s="84">
        <f>IF(BS30&lt;&gt;0,(BN30+BP30+BR30)/(BO30+BQ30+BS30),0)</f>
        <v>0.44680851063829785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25</v>
      </c>
      <c r="CV30" s="92">
        <f t="shared" si="27"/>
        <v>25</v>
      </c>
      <c r="CW30" s="190">
        <f>IF(BL30=CV30,(BL30/BM30),IF(AND(BK30&gt;0,BL30=CU30),(BL30/BM30),""))</f>
        <v>0.55555555555555558</v>
      </c>
      <c r="CX30" s="190" t="str">
        <f>IF(BN30=CV30,BN30/BO30,IF(AND(BK30&gt;1,BN30=CU30),BN30/BO30,""))</f>
        <v/>
      </c>
      <c r="CY30" s="190">
        <f>IF(BP30=CV30,BP30/BQ30,IF(AND(BK30=3,BP30=CU30),BP30/BQ30,IF(AND(BK30=4,BP30=CU30),BP30/BQ30,"")))</f>
        <v>0.53191489361702127</v>
      </c>
      <c r="CZ30" s="190">
        <f>IF(BR30=CV30,BR30/BS30,IF(AND(BK30=4,BR30=CU30),BR30/BS30,""))</f>
        <v>0.53191489361702127</v>
      </c>
      <c r="DA30" s="190" t="str">
        <f>IF(BT30=CV30,(BT30/BU30),"")</f>
        <v/>
      </c>
      <c r="DB30" s="190" t="str">
        <f>IF(BV30=CU30,(BV30/BW30),"")</f>
        <v/>
      </c>
      <c r="DC30" s="190" t="str">
        <f>IF(BX30=CV30,(BX30/BY30),"")</f>
        <v/>
      </c>
      <c r="DD30" s="190">
        <f>MAX(CW30:DC30)</f>
        <v>0.55555555555555558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customHeight="1" thickBot="1" x14ac:dyDescent="0.45">
      <c r="A31" s="407" t="str">
        <f>A13</f>
        <v>HELLAL</v>
      </c>
      <c r="B31" s="395"/>
      <c r="C31" s="356"/>
      <c r="D31" s="156"/>
      <c r="E31" s="195" t="str">
        <f>IF(AK31=2,"G"," ")</f>
        <v>G</v>
      </c>
      <c r="F31" s="196" t="str">
        <f>IF(AK31=1,"N","")</f>
        <v/>
      </c>
      <c r="G31" s="156"/>
      <c r="H31" s="195" t="str">
        <f>IF(AL31=2,"G"," ")</f>
        <v xml:space="preserve"> </v>
      </c>
      <c r="I31" s="197" t="str">
        <f>IF(AL31=1,"N","")</f>
        <v/>
      </c>
      <c r="J31" s="156"/>
      <c r="K31" s="195" t="str">
        <f>IF(AM31=2,"G"," ")</f>
        <v>G</v>
      </c>
      <c r="L31" s="197" t="str">
        <f>IF(AM31=1,"N","")</f>
        <v/>
      </c>
      <c r="M31" s="156"/>
      <c r="N31" s="195" t="str">
        <f>IF(AN31=2,"G"," ")</f>
        <v>G</v>
      </c>
      <c r="O31" s="197" t="str">
        <f>IF(AN31=1,"N","")</f>
        <v/>
      </c>
      <c r="P31" s="193"/>
      <c r="Q31" s="193"/>
      <c r="R31" s="194"/>
      <c r="S31" s="156"/>
      <c r="T31" s="195" t="str">
        <f>IF(AO31=2,"G"," ")</f>
        <v xml:space="preserve"> </v>
      </c>
      <c r="U31" s="197" t="str">
        <f>IF(AO31=1,"N","")</f>
        <v/>
      </c>
      <c r="V31" s="198" t="str">
        <f>IF(AP31=2,"G"," ")</f>
        <v xml:space="preserve"> </v>
      </c>
      <c r="W31" s="198"/>
      <c r="X31" s="197" t="str">
        <f>IF(AP31=1,"N","")</f>
        <v/>
      </c>
      <c r="Y31" s="199" t="str">
        <f>IF(AQ31=2,"G"," ")</f>
        <v xml:space="preserve"> </v>
      </c>
      <c r="Z31" s="198"/>
      <c r="AA31" s="200" t="str">
        <f>IF(AQ31=1,"N","")</f>
        <v/>
      </c>
      <c r="AB31" s="240"/>
      <c r="AC31" s="201">
        <f>IF(AD30&lt;1,0,AB30/AD30)</f>
        <v>0.4731182795698925</v>
      </c>
      <c r="AD31" s="46"/>
      <c r="AE31" s="22"/>
      <c r="AF31" s="22"/>
      <c r="AG31" s="22"/>
      <c r="AH31" s="22"/>
      <c r="AI31" s="22"/>
      <c r="AJ31" s="202">
        <f>SUM(AK31:AQ31)</f>
        <v>6</v>
      </c>
      <c r="AK31" s="84">
        <f>IF(D30&gt;P18,2,0)+IF(D30=P18,1,0)+IF(D30+P18=0,-1,0)</f>
        <v>2</v>
      </c>
      <c r="AL31" s="84">
        <f>IF(G30&gt;P21,2,0)+IF(G30=P21,1,0)+IF(G30+P21=0,-1,0)</f>
        <v>0</v>
      </c>
      <c r="AM31" s="84">
        <f>IF(J30&gt;P24,2,0)+IF(J30=P24,1,0)+IF(J30+P24=0,-1,0)</f>
        <v>2</v>
      </c>
      <c r="AN31" s="84">
        <f>IF(M30&gt;P27,2,0)+IF(M30=P27,1,0)+IF(M30+P27=0,-1,0)</f>
        <v>2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3">
        <f>IF(Y30&gt;P39,2,0)+IF(Y30=P39,1,0)+IF(Y30+P39=0,-1,0)</f>
        <v>0</v>
      </c>
      <c r="AR31" s="84"/>
      <c r="AS31" s="84"/>
      <c r="AT31" s="84"/>
      <c r="AU31" s="84"/>
      <c r="AV31" s="22"/>
      <c r="AW31" s="204" t="str">
        <f>IF(BF30&lt;&gt;"",CONCATENATE("    ",AJ31,"               ",DF31,"                    ",DG31,"                     ",DH31,"                       ",DI31),"")</f>
        <v xml:space="preserve">    6               0,473                    0,453                     0,556                       5</v>
      </c>
      <c r="AX31" s="84"/>
      <c r="AY31" s="84"/>
      <c r="AZ31" s="84"/>
      <c r="BA31" s="84"/>
      <c r="BB31" s="84"/>
      <c r="BC31" s="203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str">
        <f t="shared" ref="DF31:DH31" si="28">FIXED(BZ30,3,6)</f>
        <v>0,473</v>
      </c>
      <c r="DG31" s="94" t="str">
        <f t="shared" si="28"/>
        <v>0,453</v>
      </c>
      <c r="DH31" s="94" t="str">
        <f t="shared" si="28"/>
        <v>0,556</v>
      </c>
      <c r="DI31" s="94" t="str">
        <f>FIXED(CC30,0,3)</f>
        <v>5</v>
      </c>
      <c r="DJ31" s="205" t="s">
        <v>128</v>
      </c>
      <c r="DK31" s="205" t="s">
        <v>129</v>
      </c>
      <c r="DL31" s="205" t="s">
        <v>130</v>
      </c>
      <c r="DM31" s="205" t="s">
        <v>131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customHeight="1" thickBot="1" x14ac:dyDescent="0.4">
      <c r="A32" s="408" t="str">
        <f>J13</f>
        <v>ABASM</v>
      </c>
      <c r="B32" s="409"/>
      <c r="C32" s="410"/>
      <c r="D32" s="209">
        <f>IF(D30&lt;1,0,D30/F30)</f>
        <v>0.53191489361702127</v>
      </c>
      <c r="E32" s="231">
        <f>IF(Q20&lt;&gt;"",Q20,"")</f>
        <v>4</v>
      </c>
      <c r="F32" s="211">
        <v>4</v>
      </c>
      <c r="G32" s="209">
        <f>IF(G30&lt;1,0,G30/I30)</f>
        <v>0.27659574468085107</v>
      </c>
      <c r="H32" s="231">
        <v>2</v>
      </c>
      <c r="I32" s="211">
        <v>3</v>
      </c>
      <c r="J32" s="209">
        <f>IF(J30&lt;1,0,J30/L30)</f>
        <v>0.53191489361702127</v>
      </c>
      <c r="K32" s="231">
        <v>3</v>
      </c>
      <c r="L32" s="211">
        <v>5</v>
      </c>
      <c r="M32" s="209">
        <f>IF(M30&lt;1,0,M30/O30)</f>
        <v>0.55555555555555558</v>
      </c>
      <c r="N32" s="231">
        <v>1</v>
      </c>
      <c r="O32" s="330">
        <v>3</v>
      </c>
      <c r="P32" s="207"/>
      <c r="Q32" s="207"/>
      <c r="R32" s="208"/>
      <c r="S32" s="209">
        <f>IF(S30&lt;1,0,S30/U30)</f>
        <v>0</v>
      </c>
      <c r="T32" s="210" t="s">
        <v>173</v>
      </c>
      <c r="U32" s="330"/>
      <c r="V32" s="209">
        <f>IF(V30&lt;1,0,V30/X30)</f>
        <v>0</v>
      </c>
      <c r="W32" s="213"/>
      <c r="X32" s="336"/>
      <c r="Y32" s="215">
        <f>IF(Y30&lt;1,0,Y30/AA30)</f>
        <v>0</v>
      </c>
      <c r="Z32" s="213"/>
      <c r="AA32" s="337"/>
      <c r="AB32" s="217">
        <f>IF(CB30&lt;&gt;"0",CB30,"")</f>
        <v>0.55555555555555558</v>
      </c>
      <c r="AC32" s="218"/>
      <c r="AD32" s="39">
        <f>MAX(F32,I32,L32,O32,R32,U32,X32,AA32)</f>
        <v>5</v>
      </c>
      <c r="AE32" s="22"/>
      <c r="AF32" s="22"/>
      <c r="AG32" s="22"/>
      <c r="AH32" s="22"/>
      <c r="AI32" s="22"/>
      <c r="AJ32" s="202"/>
      <c r="AK32" s="84"/>
      <c r="AL32" s="84"/>
      <c r="AM32" s="84"/>
      <c r="AN32" s="84"/>
      <c r="AO32" s="84"/>
      <c r="AP32" s="84"/>
      <c r="AQ32" s="203"/>
      <c r="AR32" s="84"/>
      <c r="AS32" s="84"/>
      <c r="AT32" s="84"/>
      <c r="AU32" s="84"/>
      <c r="AV32" s="22"/>
      <c r="AW32" s="236">
        <f>IF(OR(E31="G",F31="N"),D32,0)</f>
        <v>0.53191489361702127</v>
      </c>
      <c r="AX32" s="239">
        <f>IF(OR(I31="N",H31="G"),G32,0)</f>
        <v>0</v>
      </c>
      <c r="AY32" s="236">
        <f>IF(OR(K31="G",L31="N"),J32,0)</f>
        <v>0.53191489361702127</v>
      </c>
      <c r="AZ32" s="236">
        <f>IF(OR(N31="G",O31="N"),M32,0)</f>
        <v>0.55555555555555558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133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hidden="1" customHeight="1" thickBot="1" x14ac:dyDescent="0.4">
      <c r="A33" s="411">
        <f>E14</f>
        <v>0</v>
      </c>
      <c r="B33" s="395"/>
      <c r="C33" s="356"/>
      <c r="D33" s="339"/>
      <c r="E33" s="342"/>
      <c r="F33" s="221" t="str">
        <f>IF(S18&lt;&gt;"",U18,"")</f>
        <v/>
      </c>
      <c r="G33" s="339"/>
      <c r="H33" s="342"/>
      <c r="I33" s="221" t="str">
        <f>IF(S21&lt;&gt;"",U21,"")</f>
        <v/>
      </c>
      <c r="J33" s="339"/>
      <c r="K33" s="342"/>
      <c r="L33" s="221" t="str">
        <f>IF(S24&lt;&gt;"",U24,"")</f>
        <v/>
      </c>
      <c r="M33" s="339"/>
      <c r="N33" s="342"/>
      <c r="O33" s="221" t="str">
        <f>IF(S27&lt;&gt;"",U27,"")</f>
        <v/>
      </c>
      <c r="P33" s="339"/>
      <c r="Q33" s="342"/>
      <c r="R33" s="221" t="str">
        <f>IF(S30&lt;&gt;"",U30,"")</f>
        <v/>
      </c>
      <c r="S33" s="172"/>
      <c r="T33" s="172"/>
      <c r="U33" s="173"/>
      <c r="V33" s="342"/>
      <c r="W33" s="342"/>
      <c r="X33" s="343"/>
      <c r="Y33" s="344"/>
      <c r="Z33" s="344"/>
      <c r="AA33" s="345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2"/>
      <c r="AK33" s="84"/>
      <c r="AL33" s="84"/>
      <c r="AM33" s="84"/>
      <c r="AN33" s="84"/>
      <c r="AO33" s="84"/>
      <c r="AP33" s="84"/>
      <c r="AQ33" s="203"/>
      <c r="AR33" s="84"/>
      <c r="AS33" s="84"/>
      <c r="AT33" s="84"/>
      <c r="AU33" s="84"/>
      <c r="AV33" s="22"/>
      <c r="AW33" s="176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5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78">
        <f>A14</f>
        <v>0</v>
      </c>
      <c r="BI33" s="179">
        <f>E14</f>
        <v>0</v>
      </c>
      <c r="BJ33" s="180">
        <f>J14</f>
        <v>0</v>
      </c>
      <c r="BK33" s="33"/>
      <c r="BL33" s="238" t="str">
        <f>IF(E35=1,D33,IF(H35=1,G33,IF(K35=1,J33,IF(N35=1,M33,IF(Q35=1,P33,IF(T35=1,S33,IF(W35=1,V33,IF(Z35=1,Y33,""))))))))</f>
        <v/>
      </c>
      <c r="BM33" s="228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29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29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29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29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29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29">
        <f>IF(E35=7,F33,IF(H35=7,I33,IF(K35=7,L33,IF(N35=7,O33,IF(Q35=7,R33,IF(T35=7,U33,IF(W35=7,X33,IF(Z35=7,AA33,0))))))))</f>
        <v>0</v>
      </c>
      <c r="BZ33" s="185" t="str">
        <f>IF(BM33&lt;&gt;0,SUM(BL33,BN33,BP33,BR33,BT33,BV33,BX33)/SUM(BM33,BO33,BQ33,BS33,BU33,BW33,BY33),"")</f>
        <v/>
      </c>
      <c r="CA33" s="186" t="str">
        <f>IF(BS33&lt;&gt;0,MAX(CI33,CK33,CM33,CO33,CQ33),"")</f>
        <v/>
      </c>
      <c r="CB33" s="187">
        <f>IF(DD33&gt;0,DD33,0)</f>
        <v>0</v>
      </c>
      <c r="CC33" s="188">
        <f>IF(AD35&lt;&gt;"",AD35,0)</f>
        <v>0</v>
      </c>
      <c r="CD33" s="167"/>
      <c r="CE33" s="189"/>
      <c r="CF33" s="171">
        <f t="shared" ref="CF33:CG33" si="29">SUM(BL33,BN33,BP33,BR33,BT33,BV33,BX33)</f>
        <v>0</v>
      </c>
      <c r="CG33" s="171">
        <f t="shared" si="29"/>
        <v>0</v>
      </c>
      <c r="CH33" s="189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25</v>
      </c>
      <c r="CV33" s="92">
        <f t="shared" si="30"/>
        <v>25</v>
      </c>
      <c r="CW33" s="190" t="str">
        <f>IF(BL33=CV33,(BL33/BM33),IF(AND(BK33&gt;0,BL33=CU33),(BL33/BM33),""))</f>
        <v/>
      </c>
      <c r="CX33" s="190" t="str">
        <f>IF(BN33=CV33,BN33/BO33,IF(AND(BK33&gt;1,BN33=CU33),BN33/BO33,""))</f>
        <v/>
      </c>
      <c r="CY33" s="190" t="str">
        <f>IF(BP33=CV33,BP33/BQ33,IF(AND(BK33=3,BP33=CU33),BP33/BQ33,IF(AND(BK33=4,BP33=CU33),BP33/BQ33,"")))</f>
        <v/>
      </c>
      <c r="CZ33" s="190" t="str">
        <f>IF(BR33=CV33,BR33/BS33,IF(AND(BK33=4,BR33=CU33),BR33/BS33,""))</f>
        <v/>
      </c>
      <c r="DA33" s="190" t="str">
        <f>IF(BT33=CV33,(BT33/BU33),"")</f>
        <v/>
      </c>
      <c r="DB33" s="190" t="str">
        <f>IF(BV33=CU33,(BV33/BW33),"")</f>
        <v/>
      </c>
      <c r="DC33" s="190" t="str">
        <f>IF(BX33=CV33,(BX33/BY33),"")</f>
        <v/>
      </c>
      <c r="DD33" s="190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hidden="1" customHeight="1" thickBot="1" x14ac:dyDescent="0.45">
      <c r="A34" s="407">
        <f>A14</f>
        <v>0</v>
      </c>
      <c r="B34" s="395"/>
      <c r="C34" s="356"/>
      <c r="D34" s="156"/>
      <c r="E34" s="195" t="str">
        <f>IF(AK34=2,"G"," ")</f>
        <v xml:space="preserve"> </v>
      </c>
      <c r="F34" s="196" t="str">
        <f>IF(AK34=1,"N","")</f>
        <v/>
      </c>
      <c r="G34" s="156"/>
      <c r="H34" s="195" t="str">
        <f>IF(AL34=2,"G"," ")</f>
        <v xml:space="preserve"> </v>
      </c>
      <c r="I34" s="197" t="str">
        <f>IF(AL34=1,"N","")</f>
        <v/>
      </c>
      <c r="J34" s="156"/>
      <c r="K34" s="195" t="str">
        <f>IF(AM34=2,"G"," ")</f>
        <v xml:space="preserve"> </v>
      </c>
      <c r="L34" s="197" t="str">
        <f>IF(AM34=1,"N","")</f>
        <v/>
      </c>
      <c r="M34" s="156"/>
      <c r="N34" s="195" t="str">
        <f>IF(AN34=2,"G"," ")</f>
        <v xml:space="preserve"> </v>
      </c>
      <c r="O34" s="197" t="str">
        <f>IF(AN34=1,"N","")</f>
        <v/>
      </c>
      <c r="P34" s="156"/>
      <c r="Q34" s="195" t="str">
        <f>IF(AO34=2,"G"," ")</f>
        <v xml:space="preserve"> </v>
      </c>
      <c r="R34" s="197" t="str">
        <f>IF(AO34=1,"N","")</f>
        <v/>
      </c>
      <c r="S34" s="193"/>
      <c r="T34" s="193"/>
      <c r="U34" s="194"/>
      <c r="V34" s="198" t="str">
        <f>IF(AP34=2,"G"," ")</f>
        <v xml:space="preserve"> </v>
      </c>
      <c r="W34" s="198"/>
      <c r="X34" s="197" t="str">
        <f>IF(AP34=1,"N","")</f>
        <v/>
      </c>
      <c r="Y34" s="199" t="str">
        <f>IF(AQ34=2,"G"," ")</f>
        <v xml:space="preserve"> </v>
      </c>
      <c r="Z34" s="198"/>
      <c r="AA34" s="200" t="str">
        <f>IF(AQ34=1,"N","")</f>
        <v/>
      </c>
      <c r="AB34" s="24"/>
      <c r="AC34" s="201">
        <f>IF(AD33&lt;1,0,AB33/AD33)</f>
        <v>0</v>
      </c>
      <c r="AD34" s="46"/>
      <c r="AE34" s="22"/>
      <c r="AF34" s="22"/>
      <c r="AG34" s="22"/>
      <c r="AH34" s="22"/>
      <c r="AI34" s="22"/>
      <c r="AJ34" s="202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3">
        <f>IF(Y33&gt;S39,2,0)+IF(Y33=S39,1,0)+IF(Y33+S39=0,-1,0)</f>
        <v>0</v>
      </c>
      <c r="AR34" s="84"/>
      <c r="AS34" s="84"/>
      <c r="AT34" s="84"/>
      <c r="AU34" s="84"/>
      <c r="AV34" s="22"/>
      <c r="AW34" s="204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3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5" t="s">
        <v>128</v>
      </c>
      <c r="DK34" s="205" t="s">
        <v>129</v>
      </c>
      <c r="DL34" s="205" t="s">
        <v>130</v>
      </c>
      <c r="DM34" s="205" t="s">
        <v>131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hidden="1" customHeight="1" thickBot="1" x14ac:dyDescent="0.4">
      <c r="A35" s="408">
        <f>J14</f>
        <v>0</v>
      </c>
      <c r="B35" s="409"/>
      <c r="C35" s="410"/>
      <c r="D35" s="209">
        <f>IF(D33&lt;1,0,D33/F33)</f>
        <v>0</v>
      </c>
      <c r="E35" s="231" t="str">
        <f>IF(T20&lt;&gt;"",T20,"")</f>
        <v xml:space="preserve"> </v>
      </c>
      <c r="F35" s="336"/>
      <c r="G35" s="209">
        <f>IF(G33&lt;1,0,G33/I33)</f>
        <v>0</v>
      </c>
      <c r="H35" s="231" t="str">
        <f>IF(T23&lt;&gt;"",T23,"")</f>
        <v xml:space="preserve"> </v>
      </c>
      <c r="I35" s="336"/>
      <c r="J35" s="209">
        <f>IF(J33&lt;1,0,J33/L33)</f>
        <v>0</v>
      </c>
      <c r="K35" s="231" t="str">
        <f>IF(T26&lt;&gt;"",T26,"")</f>
        <v xml:space="preserve"> </v>
      </c>
      <c r="L35" s="336"/>
      <c r="M35" s="209">
        <f>IF(M33&lt;1,0,M33/O33)</f>
        <v>0</v>
      </c>
      <c r="N35" s="231" t="str">
        <f>IF(T29&lt;&gt;"",T29,"")</f>
        <v xml:space="preserve"> </v>
      </c>
      <c r="O35" s="336"/>
      <c r="P35" s="209">
        <f>IF(P33&lt;1,0,P33/R33)</f>
        <v>0</v>
      </c>
      <c r="Q35" s="231" t="str">
        <f>IF(T32&lt;&gt;"",T32,"")</f>
        <v xml:space="preserve"> </v>
      </c>
      <c r="R35" s="336"/>
      <c r="S35" s="241"/>
      <c r="T35" s="241"/>
      <c r="U35" s="242"/>
      <c r="V35" s="209">
        <f>IF(V33&lt;1,0,V33/X33)</f>
        <v>0</v>
      </c>
      <c r="W35" s="213"/>
      <c r="X35" s="336"/>
      <c r="Y35" s="215">
        <f>IF(Y33&lt;1,0,Y33/AA33)</f>
        <v>0</v>
      </c>
      <c r="Z35" s="213"/>
      <c r="AA35" s="337"/>
      <c r="AB35" s="217">
        <f>IF(CB33&lt;&gt;"0",CB33,"")</f>
        <v>0</v>
      </c>
      <c r="AC35" s="218"/>
      <c r="AD35" s="39">
        <f>MAX(F35,I35,L35,O35,R35,U35,X35,AA35)</f>
        <v>0</v>
      </c>
      <c r="AE35" s="22"/>
      <c r="AF35" s="22"/>
      <c r="AG35" s="22"/>
      <c r="AH35" s="22"/>
      <c r="AI35" s="22"/>
      <c r="AJ35" s="202"/>
      <c r="AK35" s="84"/>
      <c r="AL35" s="84"/>
      <c r="AM35" s="84"/>
      <c r="AN35" s="84"/>
      <c r="AO35" s="84"/>
      <c r="AP35" s="84"/>
      <c r="AQ35" s="203"/>
      <c r="AR35" s="84"/>
      <c r="AS35" s="84"/>
      <c r="AT35" s="84"/>
      <c r="AU35" s="84"/>
      <c r="AV35" s="22"/>
      <c r="AW35" s="236">
        <f>IF(OR(E34="G",F34="N"),D35,0)</f>
        <v>0</v>
      </c>
      <c r="AX35" s="239">
        <f>IF(OR(I34="N",H34="G"),G35,0)</f>
        <v>0</v>
      </c>
      <c r="AY35" s="236">
        <f>IF(OR(K34="G",L34="N"),J35,0)</f>
        <v>0</v>
      </c>
      <c r="AZ35" s="236">
        <f>IF(OR(N34="G",O34="N"),M35,0)</f>
        <v>0</v>
      </c>
      <c r="BA35" s="236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133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thickBot="1" x14ac:dyDescent="0.4">
      <c r="A36" s="411">
        <f>E15</f>
        <v>0</v>
      </c>
      <c r="B36" s="395"/>
      <c r="C36" s="356"/>
      <c r="D36" s="49"/>
      <c r="E36" s="49"/>
      <c r="F36" s="221" t="str">
        <f>IF(V18&lt;&gt;"",X18,"")</f>
        <v/>
      </c>
      <c r="G36" s="49"/>
      <c r="H36" s="49"/>
      <c r="I36" s="221" t="str">
        <f>IF(V21&lt;&gt;"",X21,"")</f>
        <v/>
      </c>
      <c r="J36" s="342"/>
      <c r="K36" s="342"/>
      <c r="L36" s="221" t="str">
        <f>IF(V24&lt;&gt;"",X24,"")</f>
        <v/>
      </c>
      <c r="M36" s="342"/>
      <c r="N36" s="342"/>
      <c r="O36" s="224" t="str">
        <f>IF(V27&lt;&gt;"",X27,"")</f>
        <v/>
      </c>
      <c r="P36" s="342"/>
      <c r="Q36" s="342"/>
      <c r="R36" s="221" t="str">
        <f>IF(V30&lt;&gt;"",X30,"")</f>
        <v/>
      </c>
      <c r="S36" s="342"/>
      <c r="T36" s="49"/>
      <c r="U36" s="221" t="str">
        <f>IF(V33&lt;&gt;"",X33,"")</f>
        <v/>
      </c>
      <c r="V36" s="172"/>
      <c r="W36" s="172"/>
      <c r="X36" s="173"/>
      <c r="Y36" s="344"/>
      <c r="Z36" s="225"/>
      <c r="AA36" s="345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2"/>
      <c r="AK36" s="84"/>
      <c r="AL36" s="84"/>
      <c r="AM36" s="84"/>
      <c r="AN36" s="84"/>
      <c r="AO36" s="84"/>
      <c r="AP36" s="84"/>
      <c r="AQ36" s="203"/>
      <c r="AR36" s="84"/>
      <c r="AS36" s="84"/>
      <c r="AT36" s="84"/>
      <c r="AU36" s="84"/>
      <c r="AV36" s="22"/>
      <c r="AW36" s="176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5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78">
        <f>A15</f>
        <v>0</v>
      </c>
      <c r="BI36" s="179">
        <f>E15</f>
        <v>0</v>
      </c>
      <c r="BJ36" s="180">
        <f>J15</f>
        <v>0</v>
      </c>
      <c r="BK36" s="33"/>
      <c r="BL36" s="238" t="str">
        <f>IF(E38=1,D36,IF(H38=1,G36,IF(K38=1,J36,IF(N38=1,M36,IF(Q38=1,P36,IF(T38=1,S36,IF(W38=1,V36,IF(Z38=1,Y36,""))))))))</f>
        <v/>
      </c>
      <c r="BM36" s="228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29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29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29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29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29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29">
        <f>IF(E38=7,F36,IF(H38=7,I36,IF(K38=7,L36,IF(N38=7,O36,IF(Q38=7,R36,IF(T38=7,U36,IF(W38=7,X36,IF(Z38=7,AA36,0))))))))</f>
        <v>0</v>
      </c>
      <c r="BZ36" s="185" t="str">
        <f>IF(BM36&lt;&gt;0,SUM(BL36,BN36,BP36,BR36,BT36,BV36,BX36)/SUM(BM36,BO36,BQ36,BS36,BU36,BW36,BY36),"")</f>
        <v/>
      </c>
      <c r="CA36" s="186" t="str">
        <f>IF(BS36&lt;&gt;0,MAX(CI36,CK36,CM36,CO36,CQ36),"")</f>
        <v/>
      </c>
      <c r="CB36" s="187">
        <f>IF(DD36&gt;0,DD36,0)</f>
        <v>0</v>
      </c>
      <c r="CC36" s="188">
        <f>IF(AD38&lt;&gt;"",AD38,0)</f>
        <v>0</v>
      </c>
      <c r="CD36" s="167"/>
      <c r="CE36" s="189"/>
      <c r="CF36" s="171">
        <f t="shared" ref="CF36:CG36" si="32">SUM(BL36,BN36,BP36,BR36,BT36,BV36,BX36)</f>
        <v>0</v>
      </c>
      <c r="CG36" s="171">
        <f t="shared" si="32"/>
        <v>0</v>
      </c>
      <c r="CH36" s="189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25</v>
      </c>
      <c r="CV36" s="92">
        <f t="shared" si="33"/>
        <v>25</v>
      </c>
      <c r="CW36" s="190" t="str">
        <f>IF(BL36=CV36,(BL36/BM36),IF(AND(BK36&gt;0,BL36=CU36),(BL36/BM36),""))</f>
        <v/>
      </c>
      <c r="CX36" s="190" t="str">
        <f>IF(BN36=CV36,BN36/BO36,IF(AND(BK36&gt;1,BN36=CU36),BN36/BO36,""))</f>
        <v/>
      </c>
      <c r="CY36" s="190" t="str">
        <f>IF(BP36=CV36,BP36/BQ36,IF(AND(BK36=3,BP36=CU36),BP36/BQ36,IF(AND(BK36=4,BP36=CU36),BP36/BQ36,"")))</f>
        <v/>
      </c>
      <c r="CZ36" s="190" t="str">
        <f>IF(BR36=CV36,BR36/BS36,IF(AND(BK36=4,BR36=CU36),BR36/BS36,""))</f>
        <v/>
      </c>
      <c r="DA36" s="190" t="str">
        <f>IF(BT36=CV36,(BT36/BU36),"")</f>
        <v/>
      </c>
      <c r="DB36" s="190" t="str">
        <f>IF(BV36=CU36,(BV36/BW36),"")</f>
        <v/>
      </c>
      <c r="DC36" s="190" t="str">
        <f>IF(BX36=CV36,(BX36/BY36),"")</f>
        <v/>
      </c>
      <c r="DD36" s="190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thickBot="1" x14ac:dyDescent="0.4">
      <c r="A37" s="407">
        <f>A15</f>
        <v>0</v>
      </c>
      <c r="B37" s="395"/>
      <c r="C37" s="356"/>
      <c r="D37" s="198" t="str">
        <f>IF(AK37=2,"G"," ")</f>
        <v xml:space="preserve"> </v>
      </c>
      <c r="E37" s="198"/>
      <c r="F37" s="197" t="str">
        <f>IF(AK37=1,"N","")</f>
        <v/>
      </c>
      <c r="G37" s="198" t="str">
        <f>IF(AL37=2,"G"," ")</f>
        <v xml:space="preserve"> </v>
      </c>
      <c r="H37" s="198"/>
      <c r="I37" s="197" t="str">
        <f>IF(AL37=1,"N","")</f>
        <v/>
      </c>
      <c r="J37" s="198" t="str">
        <f>IF(AM37=2,"G"," ")</f>
        <v xml:space="preserve"> </v>
      </c>
      <c r="K37" s="198"/>
      <c r="L37" s="197" t="str">
        <f>IF(AM37=1,"N","")</f>
        <v/>
      </c>
      <c r="M37" s="198" t="str">
        <f>IF(AN37=2,"G"," ")</f>
        <v xml:space="preserve"> </v>
      </c>
      <c r="N37" s="198"/>
      <c r="O37" s="197" t="str">
        <f>IF(AN37=1,"N","")</f>
        <v/>
      </c>
      <c r="P37" s="198" t="str">
        <f>IF(AO37=2,"G"," ")</f>
        <v xml:space="preserve"> </v>
      </c>
      <c r="Q37" s="198"/>
      <c r="R37" s="197" t="str">
        <f>IF(AO37=1,"N","")</f>
        <v/>
      </c>
      <c r="S37" s="198" t="str">
        <f>IF(AP37=2,"G"," ")</f>
        <v xml:space="preserve"> </v>
      </c>
      <c r="T37" s="198"/>
      <c r="U37" s="197" t="str">
        <f>IF(AP37=1,"N","")</f>
        <v/>
      </c>
      <c r="V37" s="193"/>
      <c r="W37" s="193"/>
      <c r="X37" s="194"/>
      <c r="Y37" s="199" t="str">
        <f>IF(AQ37=2,"G"," ")</f>
        <v xml:space="preserve"> </v>
      </c>
      <c r="Z37" s="198"/>
      <c r="AA37" s="200" t="str">
        <f>IF(AQ37=1,"N","")</f>
        <v/>
      </c>
      <c r="AB37" s="24"/>
      <c r="AC37" s="243">
        <f>IF(AD36&lt;1,0,AB36/AD36)</f>
        <v>0</v>
      </c>
      <c r="AD37" s="46"/>
      <c r="AE37" s="22"/>
      <c r="AF37" s="22"/>
      <c r="AG37" s="22"/>
      <c r="AH37" s="22"/>
      <c r="AI37" s="22"/>
      <c r="AJ37" s="202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3">
        <f>IF(Y36&gt;V39,2,0)+IF(Y36=V39,1,0)+IF(Y36+V39=0,-1,0)</f>
        <v>0</v>
      </c>
      <c r="AR37" s="84"/>
      <c r="AS37" s="84"/>
      <c r="AT37" s="84"/>
      <c r="AU37" s="84"/>
      <c r="AV37" s="22"/>
      <c r="AW37" s="204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3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5" t="s">
        <v>128</v>
      </c>
      <c r="DK37" s="205" t="s">
        <v>129</v>
      </c>
      <c r="DL37" s="205" t="s">
        <v>130</v>
      </c>
      <c r="DM37" s="205" t="s">
        <v>131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thickBot="1" x14ac:dyDescent="0.4">
      <c r="A38" s="408">
        <f>J15</f>
        <v>0</v>
      </c>
      <c r="B38" s="409"/>
      <c r="C38" s="410"/>
      <c r="D38" s="209">
        <f>IF(D36&lt;1,0,D36/F36)</f>
        <v>0</v>
      </c>
      <c r="E38" s="244" t="str">
        <f>IF(V18&lt;&gt;"",W20,"")</f>
        <v/>
      </c>
      <c r="F38" s="214"/>
      <c r="G38" s="209">
        <f>IF(G36&lt;1,0,G36/I36)</f>
        <v>0</v>
      </c>
      <c r="H38" s="244" t="str">
        <f>IF(V21&lt;&gt;"",W23,"")</f>
        <v/>
      </c>
      <c r="I38" s="214"/>
      <c r="J38" s="209">
        <f>IF(J36&lt;1,0,J36/L36)</f>
        <v>0</v>
      </c>
      <c r="K38" s="244" t="str">
        <f>IF(V24&lt;&gt;"",W26,"")</f>
        <v/>
      </c>
      <c r="L38" s="214"/>
      <c r="M38" s="209">
        <f>IF(M36&lt;1,0,M36/O36)</f>
        <v>0</v>
      </c>
      <c r="N38" s="244" t="str">
        <f>IF(V27&lt;&gt;"",W29,"")</f>
        <v/>
      </c>
      <c r="O38" s="336"/>
      <c r="P38" s="209">
        <f>IF(P36&lt;1,0,P36/R36)</f>
        <v>0</v>
      </c>
      <c r="Q38" s="244" t="str">
        <f>IF(V30&lt;&gt;"",W32,"")</f>
        <v/>
      </c>
      <c r="R38" s="336"/>
      <c r="S38" s="209">
        <f>IF(S36&lt;1,0,S36/U36)</f>
        <v>0</v>
      </c>
      <c r="T38" s="244" t="str">
        <f>IF(V33&lt;&gt;"",W35,"")</f>
        <v/>
      </c>
      <c r="U38" s="336"/>
      <c r="V38" s="241"/>
      <c r="W38" s="241"/>
      <c r="X38" s="242"/>
      <c r="Y38" s="215">
        <f>IF(Y36&lt;1,0,Y36/AA36)</f>
        <v>0</v>
      </c>
      <c r="Z38" s="213"/>
      <c r="AA38" s="337"/>
      <c r="AB38" s="245">
        <f>IF(CB36&lt;&gt;"0",CB36,"")</f>
        <v>0</v>
      </c>
      <c r="AC38" s="218"/>
      <c r="AD38" s="39">
        <f>MAX(F38,I38,L38,O38,R38,U38,X38,AA38)</f>
        <v>0</v>
      </c>
      <c r="AE38" s="22"/>
      <c r="AF38" s="22"/>
      <c r="AG38" s="22"/>
      <c r="AH38" s="22"/>
      <c r="AI38" s="22"/>
      <c r="AJ38" s="202"/>
      <c r="AK38" s="84"/>
      <c r="AL38" s="84"/>
      <c r="AM38" s="84"/>
      <c r="AN38" s="84"/>
      <c r="AO38" s="84"/>
      <c r="AP38" s="84"/>
      <c r="AQ38" s="203"/>
      <c r="AR38" s="84"/>
      <c r="AS38" s="84"/>
      <c r="AT38" s="84"/>
      <c r="AU38" s="84"/>
      <c r="AV38" s="22"/>
      <c r="AW38" s="236">
        <f>IF(OR(D37="G",F37="N"),D38,0)</f>
        <v>0</v>
      </c>
      <c r="AX38" s="239">
        <f>IF(OR(I37="N",G37="G"),G38,0)</f>
        <v>0</v>
      </c>
      <c r="AY38" s="236">
        <f>IF(OR(J37="G",L37="N"),J38,0)</f>
        <v>0</v>
      </c>
      <c r="AZ38" s="236">
        <f>IF(OR(M37="G",O37="N"),M38,0)</f>
        <v>0</v>
      </c>
      <c r="BA38" s="236">
        <f>IF(OR(P37="G",R37="N"),P38,0)</f>
        <v>0</v>
      </c>
      <c r="BB38" s="236">
        <f>IF(OR(S37="G",U37="N"),S38,0)</f>
        <v>0</v>
      </c>
      <c r="BC38" s="112">
        <f>IF(OR(AA37="N",Y37="G"),Y38,0)</f>
        <v>0</v>
      </c>
      <c r="BD38" s="84" t="s">
        <v>133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thickBot="1" x14ac:dyDescent="0.4">
      <c r="A39" s="411">
        <f>E16</f>
        <v>0</v>
      </c>
      <c r="B39" s="395"/>
      <c r="C39" s="356"/>
      <c r="D39" s="342"/>
      <c r="E39" s="342"/>
      <c r="F39" s="221" t="str">
        <f>IF(Y18&lt;&gt;"",AA18,"")</f>
        <v/>
      </c>
      <c r="G39" s="342"/>
      <c r="H39" s="342"/>
      <c r="I39" s="221" t="str">
        <f>IF(Y21&lt;&gt;"",AA21,"")</f>
        <v/>
      </c>
      <c r="J39" s="342"/>
      <c r="K39" s="342"/>
      <c r="L39" s="221" t="str">
        <f>IF(Y24&lt;&gt;"",AA24,"")</f>
        <v/>
      </c>
      <c r="M39" s="342"/>
      <c r="N39" s="342"/>
      <c r="O39" s="224" t="str">
        <f>IF(Y27&lt;&gt;"",AA27,"")</f>
        <v/>
      </c>
      <c r="P39" s="342"/>
      <c r="Q39" s="342"/>
      <c r="R39" s="224" t="str">
        <f>IF(Y30&lt;&gt;"",AA30,"")</f>
        <v/>
      </c>
      <c r="S39" s="342"/>
      <c r="T39" s="342"/>
      <c r="U39" s="221" t="str">
        <f>IF(Y33&lt;&gt;"",AA33,"")</f>
        <v/>
      </c>
      <c r="V39" s="342"/>
      <c r="W39" s="49"/>
      <c r="X39" s="221" t="str">
        <f>IF(Y36&lt;&gt;"",AA36,"")</f>
        <v/>
      </c>
      <c r="Y39" s="246"/>
      <c r="Z39" s="246"/>
      <c r="AA39" s="247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2"/>
      <c r="AK39" s="84"/>
      <c r="AL39" s="84"/>
      <c r="AM39" s="84"/>
      <c r="AN39" s="84"/>
      <c r="AO39" s="84"/>
      <c r="AP39" s="84"/>
      <c r="AQ39" s="203"/>
      <c r="AR39" s="84"/>
      <c r="AS39" s="84"/>
      <c r="AT39" s="84"/>
      <c r="AU39" s="84"/>
      <c r="AV39" s="22"/>
      <c r="AW39" s="176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5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78">
        <f>A16</f>
        <v>0</v>
      </c>
      <c r="BI39" s="179">
        <f>E16</f>
        <v>0</v>
      </c>
      <c r="BJ39" s="180">
        <f>J16</f>
        <v>0</v>
      </c>
      <c r="BK39" s="33"/>
      <c r="BL39" s="238" t="str">
        <f>IF(E41=1,D39,IF(H41=1,G39,IF(K41=1,J39,IF(N41=1,M39,IF(Q41=1,P39,IF(T41=1,S39,IF(W41=1,V39,IF(Z41=1,Y39,""))))))))</f>
        <v/>
      </c>
      <c r="BM39" s="228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29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29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29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29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29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29">
        <f>IF(E41=7,F39,IF(H41=7,I39,IF(K41=7,L39,IF(N41=7,O39,IF(Q41=7,R39,IF(T41=7,U39,IF(W41=7,X39,IF(Z41=7,AA39,0))))))))</f>
        <v>0</v>
      </c>
      <c r="BZ39" s="185" t="str">
        <f>IF(BM39&lt;&gt;0,SUM(BL39,BN39,BP39,BR39,BT39,BV39,BX39)/SUM(BM39,BO39,BQ39,BS39,BU39,BW39,BY39),"")</f>
        <v/>
      </c>
      <c r="CA39" s="186" t="str">
        <f>IF(BS39&lt;&gt;0,MAX(CI39,CK39,CM39,CO39,CQ39),"")</f>
        <v/>
      </c>
      <c r="CB39" s="187">
        <f>IF(DD39&gt;0,DD39,0)</f>
        <v>0</v>
      </c>
      <c r="CC39" s="188">
        <f>IF(AD41&lt;&gt;"",AD41,0)</f>
        <v>0</v>
      </c>
      <c r="CD39" s="167"/>
      <c r="CE39" s="189"/>
      <c r="CF39" s="171">
        <f t="shared" ref="CF39:CG39" si="35">SUM(BL39,BN39,BP39,BR39,BT39,BV39,BX39)</f>
        <v>0</v>
      </c>
      <c r="CG39" s="171">
        <f t="shared" si="35"/>
        <v>0</v>
      </c>
      <c r="CH39" s="189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136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25</v>
      </c>
      <c r="CV39" s="92">
        <f t="shared" si="36"/>
        <v>25</v>
      </c>
      <c r="CW39" s="190" t="str">
        <f>IF(BL39=CV39,(BL39/BM39),IF(AND(BK39&gt;0,BL39=CU39),(BL39/BM39),""))</f>
        <v/>
      </c>
      <c r="CX39" s="190" t="str">
        <f>IF(BN39=CV39,BN39/BO39,IF(AND(BK39&gt;1,BN39=CU39),BN39/BO39,""))</f>
        <v/>
      </c>
      <c r="CY39" s="190" t="str">
        <f>IF(BP39=CV39,BP39/BQ39,IF(AND(BK39=3,BP39=CU39),BP39/BQ39,IF(AND(BK39=4,BP39=CU39),BP39/BQ39,"")))</f>
        <v/>
      </c>
      <c r="CZ39" s="190" t="str">
        <f>IF(BR39=CV39,BR39/BS39,IF(AND(BK39=4,BR39=CU39),BR39/BS39,""))</f>
        <v/>
      </c>
      <c r="DA39" s="190" t="str">
        <f>IF(BT39=CV39,(BT39/BU39),"")</f>
        <v/>
      </c>
      <c r="DB39" s="190" t="str">
        <f>IF(BV39=CU39,(BV39/BW39),"")</f>
        <v/>
      </c>
      <c r="DC39" s="190" t="str">
        <f>IF(BX39=CV39,(BX39/BY39),"")</f>
        <v/>
      </c>
      <c r="DD39" s="190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thickBot="1" x14ac:dyDescent="0.4">
      <c r="A40" s="192">
        <f>A16</f>
        <v>0</v>
      </c>
      <c r="B40" s="412" t="str">
        <f>IF(B67&lt;&gt;"",B67,"")</f>
        <v/>
      </c>
      <c r="C40" s="356"/>
      <c r="D40" s="198" t="str">
        <f>IF(AK40=2,"G"," ")</f>
        <v xml:space="preserve"> </v>
      </c>
      <c r="E40" s="198"/>
      <c r="F40" s="197" t="str">
        <f>IF(AK40=1,"N","")</f>
        <v/>
      </c>
      <c r="G40" s="198" t="str">
        <f>IF(AL40=2,"G"," ")</f>
        <v xml:space="preserve"> </v>
      </c>
      <c r="H40" s="198"/>
      <c r="I40" s="197" t="str">
        <f>IF(AL40=1,"N","")</f>
        <v/>
      </c>
      <c r="J40" s="198" t="str">
        <f>IF(AM40=2,"G"," ")</f>
        <v xml:space="preserve"> </v>
      </c>
      <c r="K40" s="198"/>
      <c r="L40" s="197" t="str">
        <f>IF(AM40=1,"N","")</f>
        <v/>
      </c>
      <c r="M40" s="198" t="str">
        <f>IF(AN40=2,"G"," ")</f>
        <v xml:space="preserve"> </v>
      </c>
      <c r="N40" s="198"/>
      <c r="O40" s="197" t="str">
        <f>IF(AN40=1,"N","")</f>
        <v/>
      </c>
      <c r="P40" s="198" t="str">
        <f>IF(AO40=2,"G"," ")</f>
        <v xml:space="preserve"> </v>
      </c>
      <c r="Q40" s="198"/>
      <c r="R40" s="197" t="str">
        <f>IF(AO40=1,"N","")</f>
        <v/>
      </c>
      <c r="S40" s="198" t="str">
        <f>IF(AP40=2,"G"," ")</f>
        <v xml:space="preserve"> </v>
      </c>
      <c r="T40" s="198"/>
      <c r="U40" s="197" t="str">
        <f>IF(AP40=1,"N","")</f>
        <v/>
      </c>
      <c r="V40" s="198" t="str">
        <f>IF(AQ40=2,"G"," ")</f>
        <v xml:space="preserve"> </v>
      </c>
      <c r="W40" s="198"/>
      <c r="X40" s="197" t="str">
        <f>IF(AQ40=1,"N","")</f>
        <v/>
      </c>
      <c r="Y40" s="248"/>
      <c r="Z40" s="248"/>
      <c r="AA40" s="249"/>
      <c r="AB40" s="24"/>
      <c r="AC40" s="243">
        <f>IF(AD39&lt;1,0,AB39/AD39)</f>
        <v>0</v>
      </c>
      <c r="AD40" s="46"/>
      <c r="AE40" s="22"/>
      <c r="AF40" s="22"/>
      <c r="AG40" s="22"/>
      <c r="AH40" s="22"/>
      <c r="AI40" s="22"/>
      <c r="AJ40" s="202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3">
        <f>IF(V39&gt;Y36,2,0)+IF(V39=Y36,1,0)+IF(V39+Y36=0,-1,0)</f>
        <v>0</v>
      </c>
      <c r="AR40" s="84"/>
      <c r="AS40" s="84"/>
      <c r="AT40" s="84"/>
      <c r="AU40" s="84"/>
      <c r="AV40" s="22"/>
      <c r="AW40" s="204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3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5" t="s">
        <v>128</v>
      </c>
      <c r="DK40" s="205" t="s">
        <v>129</v>
      </c>
      <c r="DL40" s="205" t="s">
        <v>130</v>
      </c>
      <c r="DM40" s="205" t="s">
        <v>131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thickBot="1" x14ac:dyDescent="0.4">
      <c r="A41" s="206">
        <f>J16</f>
        <v>0</v>
      </c>
      <c r="B41" s="413" t="str">
        <f>IF(B67&lt;&gt;"",B67,"")</f>
        <v/>
      </c>
      <c r="C41" s="410"/>
      <c r="D41" s="209">
        <f>IF(D39&lt;1,0,D39/F39)</f>
        <v>0</v>
      </c>
      <c r="E41" s="244" t="str">
        <f>IF(Y18&lt;&gt;"",Z20,"")</f>
        <v/>
      </c>
      <c r="F41" s="336"/>
      <c r="G41" s="209">
        <f>IF(G39&lt;1,0,G39/I39)</f>
        <v>0</v>
      </c>
      <c r="H41" s="244" t="str">
        <f>IF(Y21&lt;&gt;"",Z23,"")</f>
        <v/>
      </c>
      <c r="I41" s="336"/>
      <c r="J41" s="209">
        <f>IF(J39&lt;1,0,J39/L39)</f>
        <v>0</v>
      </c>
      <c r="K41" s="244" t="str">
        <f>IF(Y24&lt;&gt;"",Z26,"")</f>
        <v/>
      </c>
      <c r="L41" s="214"/>
      <c r="M41" s="209">
        <f>IF(M39&lt;1,0,M39/O39)</f>
        <v>0</v>
      </c>
      <c r="N41" s="244" t="str">
        <f>IF(Y27&lt;&gt;"",Z29,"")</f>
        <v/>
      </c>
      <c r="O41" s="336"/>
      <c r="P41" s="209">
        <f>IF(P39&lt;1,0,P39/R39)</f>
        <v>0</v>
      </c>
      <c r="Q41" s="244" t="str">
        <f>IF(Y30&lt;&gt;"",Z32,"")</f>
        <v/>
      </c>
      <c r="R41" s="336"/>
      <c r="S41" s="209">
        <f>IF(S39&lt;1,0,S39/U39)</f>
        <v>0</v>
      </c>
      <c r="T41" s="244" t="str">
        <f>IF(Y33&lt;&gt;"",Z35,"")</f>
        <v/>
      </c>
      <c r="U41" s="336"/>
      <c r="V41" s="209">
        <f>IF(V39&lt;1,0,V39/X39)</f>
        <v>0</v>
      </c>
      <c r="W41" s="244" t="str">
        <f>IF(Y36&lt;&gt;"",Z38,"")</f>
        <v/>
      </c>
      <c r="X41" s="336"/>
      <c r="Y41" s="251"/>
      <c r="Z41" s="251"/>
      <c r="AA41" s="252"/>
      <c r="AB41" s="245">
        <f>IF(CB39&lt;&gt;"0",CB39,"")</f>
        <v>0</v>
      </c>
      <c r="AC41" s="218"/>
      <c r="AD41" s="39">
        <f>MAX(F41,I41,L41,O41,R41,U41,X41,AA41)</f>
        <v>0</v>
      </c>
      <c r="AE41" s="22"/>
      <c r="AF41" s="22"/>
      <c r="AG41" s="22"/>
      <c r="AH41" s="22"/>
      <c r="AI41" s="22"/>
      <c r="AJ41" s="235"/>
      <c r="AK41" s="250"/>
      <c r="AL41" s="250"/>
      <c r="AM41" s="250"/>
      <c r="AN41" s="250"/>
      <c r="AO41" s="250"/>
      <c r="AP41" s="250"/>
      <c r="AQ41" s="233"/>
      <c r="AR41" s="84"/>
      <c r="AS41" s="84"/>
      <c r="AT41" s="84"/>
      <c r="AU41" s="84"/>
      <c r="AV41" s="22"/>
      <c r="AW41" s="236">
        <f>IF(OR(D40="G",F40="N"),D41,0)</f>
        <v>0</v>
      </c>
      <c r="AX41" s="239">
        <f>IF(OR(I40="N",G40="G"),G41,0)</f>
        <v>0</v>
      </c>
      <c r="AY41" s="236">
        <f>IF(OR(J40="G",L40="N"),J41,0)</f>
        <v>0</v>
      </c>
      <c r="AZ41" s="236">
        <f>IF(OR(M40="G",O40="N"),M41,0)</f>
        <v>0</v>
      </c>
      <c r="BA41" s="236">
        <f>IF(OR(P40="G",R40="N"),P41,0)</f>
        <v>0</v>
      </c>
      <c r="BB41" s="236">
        <f>IF(OR(S40="G",U40="N"),S41,0)</f>
        <v>0</v>
      </c>
      <c r="BC41" s="236">
        <f>IF(OR(V40="G",X40="N"),V41,0)</f>
        <v>0</v>
      </c>
      <c r="BD41" s="84" t="s">
        <v>133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53"/>
      <c r="B42" s="153"/>
      <c r="C42" s="153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163"/>
      <c r="Z42" s="163"/>
      <c r="AA42" s="163"/>
      <c r="AB42" s="254"/>
      <c r="AC42" s="254"/>
      <c r="AD42" s="255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56"/>
      <c r="B43" s="257"/>
      <c r="C43" s="257"/>
      <c r="D43" s="257"/>
      <c r="E43" s="257"/>
      <c r="F43" s="258" t="s">
        <v>137</v>
      </c>
      <c r="G43" s="257"/>
      <c r="H43" s="257"/>
      <c r="I43" s="259"/>
      <c r="J43" s="257"/>
      <c r="K43" s="257"/>
      <c r="L43" s="259"/>
      <c r="M43" s="257"/>
      <c r="N43" s="257"/>
      <c r="O43" s="259"/>
      <c r="P43" s="257" t="s">
        <v>138</v>
      </c>
      <c r="Q43" s="257"/>
      <c r="R43" s="259"/>
      <c r="S43" s="257"/>
      <c r="T43" s="257"/>
      <c r="U43" s="259"/>
      <c r="V43" s="257"/>
      <c r="W43" s="257"/>
      <c r="X43" s="259"/>
      <c r="Y43" s="260"/>
      <c r="Z43" s="414">
        <f>IF(B45&lt;&gt;"",CF14,"")</f>
        <v>0.46924829157175396</v>
      </c>
      <c r="AA43" s="415"/>
      <c r="AB43" s="261"/>
      <c r="AC43" s="261"/>
      <c r="AD43" s="262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139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63"/>
      <c r="B44" s="264" t="s">
        <v>93</v>
      </c>
      <c r="C44" s="264"/>
      <c r="D44" s="265" t="s">
        <v>94</v>
      </c>
      <c r="E44" s="266"/>
      <c r="F44" s="264"/>
      <c r="G44" s="264" t="s">
        <v>18</v>
      </c>
      <c r="H44" s="264"/>
      <c r="I44" s="264"/>
      <c r="J44" s="264"/>
      <c r="K44" s="264"/>
      <c r="L44" s="267"/>
      <c r="M44" s="267"/>
      <c r="N44" s="381" t="s">
        <v>171</v>
      </c>
      <c r="O44" s="359"/>
      <c r="P44" s="416" t="s">
        <v>140</v>
      </c>
      <c r="Q44" s="358"/>
      <c r="R44" s="358"/>
      <c r="S44" s="358"/>
      <c r="T44" s="416" t="s">
        <v>141</v>
      </c>
      <c r="U44" s="358"/>
      <c r="V44" s="358"/>
      <c r="W44" s="359"/>
      <c r="X44" s="416" t="s">
        <v>142</v>
      </c>
      <c r="Y44" s="358"/>
      <c r="Z44" s="358"/>
      <c r="AA44" s="359"/>
      <c r="AB44" s="264"/>
      <c r="AC44" s="267" t="s">
        <v>143</v>
      </c>
      <c r="AD44" s="268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25" t="s">
        <v>172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144</v>
      </c>
      <c r="BM44" s="9" t="s">
        <v>145</v>
      </c>
      <c r="BN44" s="9" t="s">
        <v>144</v>
      </c>
      <c r="BO44" s="9" t="s">
        <v>145</v>
      </c>
      <c r="BP44" s="9" t="s">
        <v>144</v>
      </c>
      <c r="BQ44" s="9" t="s">
        <v>145</v>
      </c>
      <c r="BR44" s="9" t="s">
        <v>144</v>
      </c>
      <c r="BS44" s="9" t="s">
        <v>145</v>
      </c>
      <c r="BT44" s="9" t="s">
        <v>144</v>
      </c>
      <c r="BU44" s="9" t="s">
        <v>145</v>
      </c>
      <c r="BV44" s="9" t="s">
        <v>144</v>
      </c>
      <c r="BW44" s="9" t="s">
        <v>145</v>
      </c>
      <c r="BX44" s="9" t="s">
        <v>144</v>
      </c>
      <c r="BY44" s="9" t="s">
        <v>145</v>
      </c>
      <c r="BZ44" s="9" t="s">
        <v>146</v>
      </c>
      <c r="CA44" s="9" t="s">
        <v>124</v>
      </c>
      <c r="CB44" s="9" t="s">
        <v>125</v>
      </c>
      <c r="CC44" s="9" t="s">
        <v>126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69" t="str">
        <f>IF(B45&lt;&gt;"","1er","")</f>
        <v>1er</v>
      </c>
      <c r="B45" s="270" t="str">
        <f>IF(BE18=1,AW18,IF(BE21=1,AW21,IF(BE24=1,AW24,IF(BE27=1,AW27,IF(BE30=1,AW30,IF(BE33=1,AW33,IF(BE36=1,AW36,IF(BE39=1,AW39,""))))))))</f>
        <v>BEAUCHER   ALAIN    ( LIVRY )</v>
      </c>
      <c r="C45" s="77"/>
      <c r="D45" s="77"/>
      <c r="E45" s="77"/>
      <c r="F45" s="77"/>
      <c r="G45" s="77"/>
      <c r="H45" s="77"/>
      <c r="I45" s="271"/>
      <c r="J45" s="77"/>
      <c r="K45" s="77"/>
      <c r="L45" s="272"/>
      <c r="M45" s="77"/>
      <c r="N45" s="382">
        <f>IF(BE18=1,AJ19,IF(BE21=1,AJ22,IF(BE24=1,AJ25,IF(BE27=1,AJ28,IF(BE30=1,AJ31,IF(BE33=1,AJ34,IF(BE36=1,AJ37,IF(BE39=1,AJ40,""))))))))</f>
        <v>6</v>
      </c>
      <c r="O45" s="361"/>
      <c r="P45" s="383">
        <f>IF(BE18=1,BZ18,IF(BE21=1,BZ21,IF(BE24=1,BZ24,IF(BE27=1,BZ27,IF(BE30=1,BZ30,IF(BE33=1,BZ33,IF(BE36=1,BZ36,IF(BE39=1,BZ39,""))))))))</f>
        <v>0.65771812080536918</v>
      </c>
      <c r="Q45" s="370"/>
      <c r="R45" s="370"/>
      <c r="S45" s="361"/>
      <c r="T45" s="384">
        <f>IF(BE18=1,CA18,IF(BE21=1,CA21,IF(BE24=1,CA24,IF(BE27=1,CA27,IF(BE30=1,CA30,IF(BE33=1,CA33,IF(BE36=1,CA36,IF(BE39=1,CA39,""))))))))</f>
        <v>0.73529411764705888</v>
      </c>
      <c r="U45" s="370"/>
      <c r="V45" s="370"/>
      <c r="W45" s="361"/>
      <c r="X45" s="385">
        <f>IF(BE18=1,CB18,IF(BE21=1,CB21,IF(BE24=1,CB24,IF(BE27=1,CB27,IF(BE30=1,CB30,IF(BE33=1,CB33,IF(BE36=1,CB36,IF(BE39=1,CB39,""))))))))</f>
        <v>0.86206896551724133</v>
      </c>
      <c r="Y45" s="370"/>
      <c r="Z45" s="370"/>
      <c r="AA45" s="361"/>
      <c r="AB45" s="273"/>
      <c r="AC45" s="274">
        <f>IF(BE18=1,CC18,IF(BE21=1,CC21,IF(BE24=1,CC24,IF(BE27=1,CC27,IF(BE30=1,CC30,IF(BE33=1,CC33,IF(BE36=1,CC36,IF(BE39=1,CC39,""))))))))</f>
        <v>4</v>
      </c>
      <c r="AD45" s="275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26"/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BEAUCHER</v>
      </c>
      <c r="BL45" s="276">
        <f t="shared" ref="BL45:CC45" si="39">BL18</f>
        <v>25</v>
      </c>
      <c r="BM45" s="41">
        <f t="shared" si="39"/>
        <v>29</v>
      </c>
      <c r="BN45" s="41">
        <f t="shared" si="39"/>
        <v>25</v>
      </c>
      <c r="BO45" s="41">
        <f t="shared" si="39"/>
        <v>36</v>
      </c>
      <c r="BP45" s="41">
        <f t="shared" si="39"/>
        <v>25</v>
      </c>
      <c r="BQ45" s="41">
        <f t="shared" si="39"/>
        <v>37</v>
      </c>
      <c r="BR45" s="41">
        <f t="shared" si="39"/>
        <v>23</v>
      </c>
      <c r="BS45" s="41">
        <f t="shared" si="39"/>
        <v>47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77">
        <f t="shared" si="39"/>
        <v>0.65771812080536918</v>
      </c>
      <c r="CA45" s="277">
        <f t="shared" si="39"/>
        <v>0.73529411764705888</v>
      </c>
      <c r="CB45" s="277">
        <f t="shared" si="39"/>
        <v>0.86206896551724133</v>
      </c>
      <c r="CC45" s="276">
        <f t="shared" si="39"/>
        <v>4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78" t="str">
        <f>IF(B46&lt;&gt;"","2e","")</f>
        <v>2e</v>
      </c>
      <c r="B46" s="279" t="str">
        <f>IF(BE18=2,AW18,IF(BE21=2,AW21,IF(BE24=2,AW24,IF(BE27=2,AW27,IF(BE30=2,AW30,IF(BE33=2,AW33,IF(BE36=2,AW36,IF(BE39=2,AW39,""))))))))</f>
        <v>GOUVEIA   VICTOR    ( LIVRY )</v>
      </c>
      <c r="C46" s="90"/>
      <c r="D46" s="90"/>
      <c r="E46" s="90"/>
      <c r="F46" s="90"/>
      <c r="G46" s="90"/>
      <c r="H46" s="90"/>
      <c r="I46" s="280"/>
      <c r="J46" s="90"/>
      <c r="K46" s="90"/>
      <c r="L46" s="281"/>
      <c r="M46" s="90"/>
      <c r="N46" s="386">
        <f>IF(BE18=2,AJ19,IF(BE21=2,AJ22,IF(BE24=2,AJ25,IF(BE27=2,AJ28,IF(BE30=2,AJ31,IF(BE33=2,AJ34,IF(BE36=2,AJ37,IF(BE39=2,AJ40,""))))))))</f>
        <v>6</v>
      </c>
      <c r="O46" s="363"/>
      <c r="P46" s="387">
        <f>IF(BE18=2,BZ18,IF(BE21=2,BZ21,IF(BE24=2,BZ24,IF(BE27=2,BZ27,IF(BE30=2,BZ30,IF(BE33=2,BZ33,IF(BE36=2,BZ36,IF(BE39=2,BZ39,""))))))))</f>
        <v>0.48863636363636365</v>
      </c>
      <c r="Q46" s="365"/>
      <c r="R46" s="365"/>
      <c r="S46" s="363"/>
      <c r="T46" s="379">
        <f>IF(BE18=2,CA18,IF(BE21=2,CA21,IF(BE24=2,CA24,IF(BE27=2,CA27,IF(BE30=2,CA30,IF(BE33=2,CA33,IF(BE36=2,CA36,IF(BE39=2,CA39,""))))))))</f>
        <v>0.51020408163265307</v>
      </c>
      <c r="U46" s="365"/>
      <c r="V46" s="365"/>
      <c r="W46" s="363"/>
      <c r="X46" s="380">
        <f>IF(BE18=2,CB18,IF(BE21=2,CB21,IF(BE24=2,CB24,IF(BE27=2,CB27,IF(BE30=2,CB30,IF(BE33=2,CB33,IF(BE36=2,CB36,IF(BE39=2,CB39,""))))))))</f>
        <v>0.56818181818181823</v>
      </c>
      <c r="Y46" s="365"/>
      <c r="Z46" s="365"/>
      <c r="AA46" s="363"/>
      <c r="AB46" s="282"/>
      <c r="AC46" s="283">
        <f>IF(BE18=2,CC18,IF(BE21=2,CC21,IF(BE24=2,CC24,IF(BE27=2,CC27,IF(BE30=2,CC30,IF(BE33=2,CC33,IF(BE36=2,CC36,IF(BE39=2,CC39,""))))))))</f>
        <v>4</v>
      </c>
      <c r="AD46" s="284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26"/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GOUVEIA</v>
      </c>
      <c r="BL46" s="276">
        <f t="shared" ref="BL46:CC46" si="40">BL21</f>
        <v>11</v>
      </c>
      <c r="BM46" s="41">
        <f t="shared" si="40"/>
        <v>29</v>
      </c>
      <c r="BN46" s="41">
        <f t="shared" si="40"/>
        <v>25</v>
      </c>
      <c r="BO46" s="41">
        <f t="shared" si="40"/>
        <v>44</v>
      </c>
      <c r="BP46" s="41">
        <f t="shared" si="40"/>
        <v>25</v>
      </c>
      <c r="BQ46" s="41">
        <f t="shared" si="40"/>
        <v>47</v>
      </c>
      <c r="BR46" s="41">
        <f t="shared" si="40"/>
        <v>25</v>
      </c>
      <c r="BS46" s="41">
        <f t="shared" si="40"/>
        <v>56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77">
        <f t="shared" si="40"/>
        <v>0.48863636363636365</v>
      </c>
      <c r="CA46" s="277">
        <f t="shared" si="40"/>
        <v>0.51020408163265307</v>
      </c>
      <c r="CB46" s="277">
        <f t="shared" si="40"/>
        <v>0.56818181818181823</v>
      </c>
      <c r="CC46" s="276">
        <f t="shared" si="40"/>
        <v>4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78" t="str">
        <f>IF(B47&lt;&gt;"","3e","")</f>
        <v>3e</v>
      </c>
      <c r="B47" s="279" t="str">
        <f>IF(BE18=3,AW18,IF(BE21=3,AW21,IF(BE24=3,AW24,IF(BE27=3,AW27,IF(BE30=3,AW30,IF(BE33=3,AW33,IF(BE36=3,AW36,IF(BE39=3,AW39,""))))))))</f>
        <v>HELLAL   DENIS    ( ABASM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86">
        <f>IF(BE18=3,AJ19,IF(BE21=3,AJ22,IF(BE24=3,AJ25,IF(BE27=3,AJ28,IF(BE30=3,AJ31,IF(BE33=3,AJ34,IF(BE36=3,AJ37,IF(BE39=3,AJ40,""))))))))</f>
        <v>6</v>
      </c>
      <c r="O47" s="363"/>
      <c r="P47" s="387">
        <f>IF(BE18=3,BZ18,IF(BE21=3,BZ21,IF(BE24=3,BZ24,IF(BE27=3,BZ27,IF(BE30=3,BZ30,IF(BE33=3,BZ33,IF(BE36=3,BZ36,IF(BE39=3,BZ39,""))))))))</f>
        <v>0.4731182795698925</v>
      </c>
      <c r="Q47" s="365"/>
      <c r="R47" s="365"/>
      <c r="S47" s="363"/>
      <c r="T47" s="379">
        <f>IF(BE18=3,CA18,IF(BE21=3,CA21,IF(BE24=3,CA24,IF(BE27=3,CA27,IF(BE30=3,CA30,IF(BE33=3,CA33,IF(BE36=3,CA36,IF(BE39=3,CA39,""))))))))</f>
        <v>0.45323741007194246</v>
      </c>
      <c r="U47" s="365"/>
      <c r="V47" s="365"/>
      <c r="W47" s="363"/>
      <c r="X47" s="380">
        <f>IF(BE18=3,CB18,IF(BE21=3,CB21,IF(BE24=3,CB24,IF(BE27=3,CB27,IF(BE30=3,CB30,IF(BE33=3,CB33,IF(BE36=3,CB36,IF(BE39=3,CB39,""))))))))</f>
        <v>0.55555555555555558</v>
      </c>
      <c r="Y47" s="365"/>
      <c r="Z47" s="365"/>
      <c r="AA47" s="363"/>
      <c r="AB47" s="282"/>
      <c r="AC47" s="283">
        <f>IF(BE18=3,CC18,IF(BE21=3,CC21,IF(BE24=3,CC24,IF(BE27=3,CC27,IF(BE30=3,CC30,IF(BE33=3,CC33,IF(BE36=3,CC36,IF(BE39=3,CC39,""))))))))</f>
        <v>5</v>
      </c>
      <c r="AD47" s="284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26"/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DELAPLACE</v>
      </c>
      <c r="BL47" s="276">
        <f t="shared" ref="BL47:CC47" si="41">BL24</f>
        <v>17</v>
      </c>
      <c r="BM47" s="41">
        <f t="shared" si="41"/>
        <v>47</v>
      </c>
      <c r="BN47" s="41">
        <f t="shared" si="41"/>
        <v>9</v>
      </c>
      <c r="BO47" s="41">
        <f t="shared" si="41"/>
        <v>36</v>
      </c>
      <c r="BP47" s="41">
        <f t="shared" si="41"/>
        <v>22</v>
      </c>
      <c r="BQ47" s="41">
        <f t="shared" si="41"/>
        <v>56</v>
      </c>
      <c r="BR47" s="41">
        <f t="shared" si="41"/>
        <v>25</v>
      </c>
      <c r="BS47" s="41">
        <f t="shared" si="41"/>
        <v>51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77">
        <f t="shared" si="41"/>
        <v>0.38421052631578945</v>
      </c>
      <c r="CA47" s="277">
        <f t="shared" si="41"/>
        <v>0.39160839160839161</v>
      </c>
      <c r="CB47" s="277">
        <f t="shared" si="41"/>
        <v>0.49019607843137253</v>
      </c>
      <c r="CC47" s="276">
        <f t="shared" si="41"/>
        <v>4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78" t="str">
        <f>IF(B48&lt;&gt;"","4e","")</f>
        <v>4e</v>
      </c>
      <c r="B48" s="279" t="str">
        <f>IF(BE18=4,AW18,IF(BE21=4,AW21,IF(BE24=4,AW24,IF(BE27=4,AW27,IF(BE30=4,AW30,IF(BE33=4,AW33,IF(BE36=4,AW36,IF(BE39=4,AW39,""))))))))</f>
        <v>DELAPLACE   EMMANUEL    ( LIVRY )</v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86">
        <f>IF(BE18=4,AJ19,IF(BE21=4,AJ22,IF(BE24=4,AJ25,IF(BE27=4,AJ28,IF(BE30=4,AJ31,IF(BE33=4,AJ34,IF(BE36=4,AJ37,IF(BE39=4,AJ40,""))))))))</f>
        <v>2</v>
      </c>
      <c r="O48" s="363"/>
      <c r="P48" s="387">
        <f>IF(BE18=4,BZ18,IF(BE21=4,BZ21,IF(BE24=4,BZ24,IF(BE27=4,BZ27,IF(BE30=4,BZ30,IF(BE33=4,BZ33,IF(BE36=4,BZ36,IF(BE39=4,BZ39,""))))))))</f>
        <v>0.38421052631578945</v>
      </c>
      <c r="Q48" s="365"/>
      <c r="R48" s="365"/>
      <c r="S48" s="363"/>
      <c r="T48" s="379">
        <f>IF(BE18=4,CA18,IF(BE21=4,CA21,IF(BE24=4,CA24,IF(BE27=4,CA27,IF(BE30=4,CA30,IF(BE33=4,CA33,IF(BE36=4,CA36,IF(BE39=4,CA39,""))))))))</f>
        <v>0.39160839160839161</v>
      </c>
      <c r="U48" s="365"/>
      <c r="V48" s="365"/>
      <c r="W48" s="363"/>
      <c r="X48" s="380">
        <f>IF(BE18=4,CB18,IF(BE21=4,CB21,IF(BE24=4,CB24,IF(BE27=4,CB27,IF(BE30=4,CB30,IF(BE33=4,CB33,IF(BE36=4,CB36,IF(BE39=4,CB39,""))))))))</f>
        <v>0.49019607843137253</v>
      </c>
      <c r="Y48" s="365"/>
      <c r="Z48" s="365"/>
      <c r="AA48" s="363"/>
      <c r="AB48" s="282"/>
      <c r="AC48" s="283">
        <f>IF(BE18=4,CC18,IF(BE21=4,CC21,IF(BE24=4,CC24,IF(BE27=4,CC27,IF(BE30=4,CC30,IF(BE33=4,CC33,IF(BE36=4,CC36,IF(BE39=4,CC39,""))))))))</f>
        <v>4</v>
      </c>
      <c r="AD48" s="284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26"/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 t="str">
        <f t="shared" si="38"/>
        <v>RIEGEL</v>
      </c>
      <c r="BL48" s="41">
        <f t="shared" ref="BL48:CC48" si="42">BL27</f>
        <v>18</v>
      </c>
      <c r="BM48" s="41">
        <f t="shared" si="42"/>
        <v>51</v>
      </c>
      <c r="BN48" s="41">
        <f t="shared" si="42"/>
        <v>17</v>
      </c>
      <c r="BO48" s="41">
        <f t="shared" si="42"/>
        <v>45</v>
      </c>
      <c r="BP48" s="41">
        <f t="shared" si="42"/>
        <v>11</v>
      </c>
      <c r="BQ48" s="41">
        <f t="shared" si="42"/>
        <v>37</v>
      </c>
      <c r="BR48" s="41">
        <f t="shared" si="42"/>
        <v>21</v>
      </c>
      <c r="BS48" s="41">
        <f t="shared" si="42"/>
        <v>44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77">
        <f t="shared" si="42"/>
        <v>0.37853107344632769</v>
      </c>
      <c r="CA48" s="277">
        <f t="shared" si="42"/>
        <v>0.3888888888888889</v>
      </c>
      <c r="CB48" s="277">
        <f t="shared" si="42"/>
        <v>0</v>
      </c>
      <c r="CC48" s="276">
        <f t="shared" si="42"/>
        <v>4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78" t="str">
        <f>IF(B49&lt;&gt;"","5e","")</f>
        <v>5e</v>
      </c>
      <c r="B49" s="279" t="str">
        <f>IF(BE18=5,AW18,IF(BE21=5,AW21,IF(BE24=5,AW24,IF(BE27=5,AW27,IF(BE30=5,AW30,IF(BE33=5,AW33,IF(BE36=5,AW36,IF(BE39=5,AW39,""))))))))</f>
        <v>RIEGEL   SERGE    ( ABASM )</v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86">
        <f>IF(BE18=5,AJ19,IF(BE21=5,AJ22,IF(BE24=5,AJ25,IF(BE27=5,AJ28,IF(BE30=5,AJ31,IF(BE33=5,AJ34,IF(BE36=5,AJ37,IF(BE39=5,AJ40,""))))))))</f>
        <v>0</v>
      </c>
      <c r="O49" s="363"/>
      <c r="P49" s="387">
        <f>IF(BE18=5,BZ18,IF(BE21=5,BZ21,IF(BE24=5,BZ24,IF(BE27=5,BZ27,IF(BE30=5,BZ30,IF(BE33=5,BZ33,IF(BE36=5,BZ36,IF(BE39=5,BZ39,""))))))))</f>
        <v>0.37853107344632769</v>
      </c>
      <c r="Q49" s="365"/>
      <c r="R49" s="365"/>
      <c r="S49" s="363"/>
      <c r="T49" s="379">
        <f>IF(BE18=5,CA18,IF(BE21=5,CA21,IF(BE24=5,CA24,IF(BE27=5,CA27,IF(BE30=5,CA30,IF(BE33=5,CA33,IF(BE36=5,CA36,IF(BE39=5,CA39,""))))))))</f>
        <v>0.3888888888888889</v>
      </c>
      <c r="U49" s="365"/>
      <c r="V49" s="365"/>
      <c r="W49" s="363"/>
      <c r="X49" s="380">
        <f>IF(BE18=5,CB18,IF(BE21=5,CB21,IF(BE24=5,CB24,IF(BE27=5,CB27,IF(BE30=5,CB30,IF(BE33=5,CB33,IF(BE36=5,CB36,IF(BE39=5,CB39,""))))))))</f>
        <v>0</v>
      </c>
      <c r="Y49" s="365"/>
      <c r="Z49" s="365"/>
      <c r="AA49" s="363"/>
      <c r="AB49" s="282"/>
      <c r="AC49" s="285">
        <f>IF(BE18=5,CC18,IF(BE21=5,CC21,IF(BE24=5,CC24,IF(BE27=5,CC27,IF(BE30=5,CC30,IF(BE33=5,CC33,IF(BE36=5,CC36,IF(BE39=5,CC39,""))))))))</f>
        <v>4</v>
      </c>
      <c r="AD49" s="284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26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 t="str">
        <f t="shared" si="38"/>
        <v>HELLAL</v>
      </c>
      <c r="BL49" s="41">
        <f t="shared" ref="BL49:CC49" si="43">BL30</f>
        <v>25</v>
      </c>
      <c r="BM49" s="41">
        <f t="shared" si="43"/>
        <v>45</v>
      </c>
      <c r="BN49" s="41">
        <f t="shared" si="43"/>
        <v>13</v>
      </c>
      <c r="BO49" s="41">
        <f t="shared" si="43"/>
        <v>47</v>
      </c>
      <c r="BP49" s="41">
        <f t="shared" si="43"/>
        <v>25</v>
      </c>
      <c r="BQ49" s="41">
        <f t="shared" si="43"/>
        <v>47</v>
      </c>
      <c r="BR49" s="41">
        <f t="shared" si="43"/>
        <v>25</v>
      </c>
      <c r="BS49" s="41">
        <f t="shared" si="43"/>
        <v>47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77">
        <f t="shared" si="43"/>
        <v>0.4731182795698925</v>
      </c>
      <c r="CA49" s="277">
        <f t="shared" si="43"/>
        <v>0.45323741007194246</v>
      </c>
      <c r="CB49" s="277">
        <f t="shared" si="43"/>
        <v>0.55555555555555558</v>
      </c>
      <c r="CC49" s="276">
        <f t="shared" si="43"/>
        <v>5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78" t="str">
        <f>IF(B50&lt;&gt;"","6e","")</f>
        <v/>
      </c>
      <c r="B50" s="279" t="str">
        <f>IF(BE18=6,AW18,IF(BE21=6,AW21,IF(BE24=6,AW24,IF(BE27=6,AW27,IF(BE30=6,AW30,IF(BE33=6,AW33,IF(BE36=6,AW36,IF(BE39=6,AW39,""))))))))</f>
        <v/>
      </c>
      <c r="C50" s="279"/>
      <c r="D50" s="279"/>
      <c r="E50" s="279"/>
      <c r="F50" s="286"/>
      <c r="G50" s="286"/>
      <c r="H50" s="286"/>
      <c r="I50" s="286"/>
      <c r="J50" s="286"/>
      <c r="K50" s="286"/>
      <c r="L50" s="286"/>
      <c r="M50" s="286"/>
      <c r="N50" s="386" t="str">
        <f>IF(BE18=6,AJ19,IF(BE21=6,AJ22,IF(BE24=6,AJ25,IF(BE27=6,AJ28,IF(BE30=6,AJ31,IF(BE33=6,AJ34,IF(BE36=6,AJ37,IF(BE39=1,AJ40,""))))))))</f>
        <v/>
      </c>
      <c r="O50" s="363"/>
      <c r="P50" s="387" t="str">
        <f>IF(BE18=6,BZ18,IF(BE21=6,BZ21,IF(BE24=6,BZ24,IF(BE27=6,BZ27,IF(BE30=6,BZ30,IF(BE33=6,BZ33,IF(BE36=6,BZ36,IF(BE39=6,BZ39,""))))))))</f>
        <v/>
      </c>
      <c r="Q50" s="365"/>
      <c r="R50" s="365"/>
      <c r="S50" s="363"/>
      <c r="T50" s="379" t="str">
        <f>IF(BE18=6,CA18,IF(BE21=6,CA21,IF(BE24=6,CA24,IF(BE27=6,CA27,IF(BE30=6,CA30,IF(BE33=6,CA33,IF(BE36=6,CA36,IF(BE39=6,CA39,""))))))))</f>
        <v/>
      </c>
      <c r="U50" s="365"/>
      <c r="V50" s="365"/>
      <c r="W50" s="363"/>
      <c r="X50" s="380" t="str">
        <f>IF(BE18=6,CB18,IF(BE21=6,CB21,IF(BE24=6,CB24,IF(BE27=6,CB27,IF(BE30=6,CB30,IF(BE33=6,CB33,IF(BE36=6,CB36,IF(BE39=6,CB39,""))))))))</f>
        <v/>
      </c>
      <c r="Y50" s="365"/>
      <c r="Z50" s="365"/>
      <c r="AA50" s="363"/>
      <c r="AB50" s="287"/>
      <c r="AC50" s="285" t="str">
        <f>IF(BE18=6,CC18,IF(BE21=6,CC21,IF(BE24=6,CC24,IF(BE27=6,CC27,IF(BE30=6,CC30,IF(BE33=6,CC33,IF(BE36=6,CC36,IF(BE39=6,CC39,""))))))))</f>
        <v/>
      </c>
      <c r="AD50" s="288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26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77" t="str">
        <f t="shared" si="44"/>
        <v/>
      </c>
      <c r="CA50" s="277" t="str">
        <f t="shared" si="44"/>
        <v/>
      </c>
      <c r="CB50" s="277">
        <f t="shared" si="44"/>
        <v>0</v>
      </c>
      <c r="CC50" s="276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78" t="str">
        <f>IF(B51&lt;&gt;"","7e","")</f>
        <v/>
      </c>
      <c r="B51" s="279" t="str">
        <f>IF(BE18=7,AW18,IF(BE21=7,AW21,IF(BE24=7,AW24,IF(BE27=7,AW27,IF(BE30=7,AW30,IF(BE33=7,AW33,IF(BE36=7,AW36,IF(BE39=7,AW39,""))))))))</f>
        <v/>
      </c>
      <c r="C51" s="279"/>
      <c r="D51" s="279"/>
      <c r="E51" s="279"/>
      <c r="F51" s="286"/>
      <c r="G51" s="286"/>
      <c r="H51" s="286"/>
      <c r="I51" s="286"/>
      <c r="J51" s="286"/>
      <c r="K51" s="286"/>
      <c r="L51" s="286"/>
      <c r="M51" s="286"/>
      <c r="N51" s="386" t="str">
        <f>IF(BE18=7,AJ19,IF(BE21=7,AJ22,IF(BE24=7,AJ25,IF(BE27=7,AJ28,IF(BE30=7,AJ31,IF(BE33=7,AJ34,IF(BE36=7,AJ37,IF(BE39=7,AJ40,""))))))))</f>
        <v/>
      </c>
      <c r="O51" s="363"/>
      <c r="P51" s="387" t="str">
        <f>IF(BE18=7,BZ18,IF(BE21=7,BZ21,IF(BE24=7,BZ24,IF(BE27=7,BZ27,IF(BE30=7,BZ30,IF(BE33=7,BZ33,IF(BE36=7,BZ36,IF(BE39=7,BZ39,""))))))))</f>
        <v/>
      </c>
      <c r="Q51" s="365"/>
      <c r="R51" s="365"/>
      <c r="S51" s="363"/>
      <c r="T51" s="379" t="str">
        <f>IF(BE18=7,CA18,IF(BE21=7,CA21,IF(BE24=7,CA24,IF(BE27=7,CA27,IF(BE30=7,CA30,IF(BE33=7,CA33,IF(BE36=7,CA36,IF(BE39=7,CA39,""))))))))</f>
        <v/>
      </c>
      <c r="U51" s="365"/>
      <c r="V51" s="365"/>
      <c r="W51" s="363"/>
      <c r="X51" s="380" t="str">
        <f>IF(BE18=7,CB18,IF(BE21=7,CB21,IF(BE24=7,CB24,IF(BE27=7,CB27,IF(BE30=7,CB30,IF(BE33=7,CB33,IF(BE36=7,CB36,IF(BE39=7,CB39,""))))))))</f>
        <v/>
      </c>
      <c r="Y51" s="365"/>
      <c r="Z51" s="365"/>
      <c r="AA51" s="363"/>
      <c r="AB51" s="287"/>
      <c r="AC51" s="285" t="str">
        <f>IF(BE18=7,CC18,IF(BE21=7,CC21,IF(BE24=7,CC24,IF(BE27=7,CC27,IF(BE30=7,CC30,IF(BE33=7,CC33,IF(BE36=7,CC36,IF(BE39=7,CC39,""))))))))</f>
        <v/>
      </c>
      <c r="AD51" s="288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26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77" t="str">
        <f t="shared" si="45"/>
        <v/>
      </c>
      <c r="CA51" s="277" t="str">
        <f t="shared" si="45"/>
        <v/>
      </c>
      <c r="CB51" s="277">
        <f t="shared" si="45"/>
        <v>0</v>
      </c>
      <c r="CC51" s="276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89" t="str">
        <f>IF(B52&lt;&gt;"","8e","")</f>
        <v/>
      </c>
      <c r="B52" s="290" t="str">
        <f>IF(BE18=8,AW18,IF(BE21=8,AW21,IF(BE24=8,AW24,IF(BE27=8,AW27,IF(BE30=8,AW30,IF(BE33=8,AW33,IF(BE36=8,AW36,IF(BE39=8,AW39,""))))))))</f>
        <v/>
      </c>
      <c r="C52" s="290"/>
      <c r="D52" s="290"/>
      <c r="E52" s="290"/>
      <c r="F52" s="291"/>
      <c r="G52" s="291"/>
      <c r="H52" s="291"/>
      <c r="I52" s="291"/>
      <c r="J52" s="291"/>
      <c r="K52" s="291"/>
      <c r="L52" s="291"/>
      <c r="M52" s="291"/>
      <c r="N52" s="388" t="str">
        <f>IF(BE18=8,AJ19,IF(BE21=8,AJ22,IF(BE24=8,AJ25,IF(BE27=8,AJ28,IF(BE30=8,AJ31,IF(BE33=8,AJ34,IF(BE36=8,AJ37,IF(BE39=8,AJ40,""))))))))</f>
        <v/>
      </c>
      <c r="O52" s="389"/>
      <c r="P52" s="390" t="str">
        <f>IF(BE18=8,BZ18,IF(BE21=8,BZ21,IF(BE24=8,BZ24,IF(BE27=8,BZ27,IF(BE30=8,BZ30,IF(BE33=8,BZ33,IF(BE36=8,BZ36,IF(BE39=8,BZ39,""))))))))</f>
        <v/>
      </c>
      <c r="Q52" s="353"/>
      <c r="R52" s="353"/>
      <c r="S52" s="389"/>
      <c r="T52" s="391" t="str">
        <f>IF(BE18=8,CA18,IF(BE21=8,CA21,IF(BE24=8,CA24,IF(BE27=8,CA27,IF(BE30=8,CA30,IF(BE33=8,CA33,IF(BE36=8,CA36,IF(BE39=8,CA39,""))))))))</f>
        <v/>
      </c>
      <c r="U52" s="353"/>
      <c r="V52" s="353"/>
      <c r="W52" s="389"/>
      <c r="X52" s="392" t="str">
        <f>IF(BE18=8,CB18,IF(BE21=8,CB21,IF(BE24=8,CB24,IF(BE27=8,CB27,IF(BE30=8,CB30,IF(BE33=8,CB33,IF(BE36=8,CB36,IF(BE39=8,CB39,""))))))))</f>
        <v/>
      </c>
      <c r="Y52" s="353"/>
      <c r="Z52" s="353"/>
      <c r="AA52" s="389"/>
      <c r="AB52" s="292"/>
      <c r="AC52" s="293" t="str">
        <f>IF(BE18=8,CC18,IF(BE21=8,CC21,IF(BE24=8,CC24,IF(BE27=8,CC27,IF(BE30=8,CC30,IF(BE33=8,CC33,IF(BE36=8,CC36,IF(BE39=8,CC39,""))))))))</f>
        <v/>
      </c>
      <c r="AD52" s="294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26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77" t="str">
        <f t="shared" si="46"/>
        <v/>
      </c>
      <c r="CA52" s="277" t="str">
        <f t="shared" si="46"/>
        <v/>
      </c>
      <c r="CB52" s="277">
        <f t="shared" si="46"/>
        <v>0</v>
      </c>
      <c r="CC52" s="276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173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295" t="s">
        <v>147</v>
      </c>
      <c r="B53" s="393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8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296"/>
      <c r="B54" s="394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  <c r="AC54" s="395"/>
      <c r="AD54" s="356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296"/>
      <c r="B55" s="394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56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296"/>
      <c r="B56" s="394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5"/>
      <c r="AD56" s="356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296"/>
      <c r="B57" s="39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8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296"/>
      <c r="B58" s="22"/>
      <c r="C58" s="22"/>
      <c r="D58" s="22"/>
      <c r="E58" s="22"/>
      <c r="F58" s="297"/>
      <c r="G58" s="297"/>
      <c r="H58" s="297"/>
      <c r="I58" s="297" t="s">
        <v>148</v>
      </c>
      <c r="J58" s="399"/>
      <c r="K58" s="370"/>
      <c r="L58" s="370"/>
      <c r="M58" s="370"/>
      <c r="N58" s="370"/>
      <c r="O58" s="370"/>
      <c r="P58" s="370"/>
      <c r="Q58" s="370"/>
      <c r="R58" s="400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1" t="s">
        <v>149</v>
      </c>
      <c r="C59" s="298"/>
      <c r="D59" s="22"/>
      <c r="E59" s="22" t="s">
        <v>150</v>
      </c>
      <c r="F59" s="22" t="s">
        <v>20</v>
      </c>
      <c r="G59" s="22" t="s">
        <v>21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299" t="s">
        <v>178</v>
      </c>
      <c r="C60" s="299" t="s">
        <v>179</v>
      </c>
      <c r="D60" s="299" t="s">
        <v>188</v>
      </c>
      <c r="E60" s="299">
        <v>144872</v>
      </c>
      <c r="F60" s="300"/>
      <c r="G60" s="30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299" t="s">
        <v>180</v>
      </c>
      <c r="C61" s="299" t="s">
        <v>181</v>
      </c>
      <c r="D61" s="299" t="s">
        <v>188</v>
      </c>
      <c r="E61" s="299">
        <v>150497</v>
      </c>
      <c r="F61" s="300"/>
      <c r="G61" s="30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299" t="s">
        <v>182</v>
      </c>
      <c r="C62" s="299" t="s">
        <v>183</v>
      </c>
      <c r="D62" s="299" t="s">
        <v>188</v>
      </c>
      <c r="E62" s="299">
        <v>143224</v>
      </c>
      <c r="F62" s="300"/>
      <c r="G62" s="300"/>
      <c r="H62" s="22"/>
      <c r="I62" s="22"/>
      <c r="J62" s="301" t="s">
        <v>151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02" t="s">
        <v>152</v>
      </c>
      <c r="W62" s="303"/>
      <c r="X62" s="304" t="s">
        <v>153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299" t="s">
        <v>184</v>
      </c>
      <c r="C63" s="299" t="s">
        <v>185</v>
      </c>
      <c r="D63" s="299" t="s">
        <v>189</v>
      </c>
      <c r="E63" s="299">
        <v>10178</v>
      </c>
      <c r="F63" s="300"/>
      <c r="G63" s="300"/>
      <c r="H63" s="22"/>
      <c r="I63" s="22"/>
      <c r="J63" s="88" t="s">
        <v>154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05"/>
      <c r="W63" s="195"/>
      <c r="X63" s="197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299" t="s">
        <v>186</v>
      </c>
      <c r="C64" s="299" t="s">
        <v>187</v>
      </c>
      <c r="D64" s="299" t="s">
        <v>189</v>
      </c>
      <c r="E64" s="299">
        <v>120639</v>
      </c>
      <c r="F64" s="300"/>
      <c r="G64" s="300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06"/>
      <c r="W64" s="307">
        <v>1</v>
      </c>
      <c r="X64" s="308" t="s">
        <v>155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299"/>
      <c r="C65" s="299"/>
      <c r="D65" s="299"/>
      <c r="E65" s="299"/>
      <c r="F65" s="300"/>
      <c r="G65" s="300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09"/>
      <c r="C66" s="309"/>
      <c r="D66" s="309"/>
      <c r="E66" s="299"/>
      <c r="F66" s="310"/>
      <c r="G66" s="309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09"/>
      <c r="C67" s="309"/>
      <c r="D67" s="309"/>
      <c r="E67" s="299"/>
      <c r="F67" s="310"/>
      <c r="G67" s="309"/>
      <c r="H67" s="156"/>
      <c r="I67" s="101"/>
      <c r="J67" s="311" t="s">
        <v>156</v>
      </c>
      <c r="K67" s="312"/>
      <c r="L67" s="313"/>
      <c r="M67" s="312"/>
      <c r="N67" s="312"/>
      <c r="O67" s="313"/>
      <c r="P67" s="312"/>
      <c r="Q67" s="312"/>
      <c r="R67" s="313"/>
      <c r="S67" s="312"/>
      <c r="T67" s="312"/>
      <c r="U67" s="313"/>
      <c r="V67" s="314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15" t="s">
        <v>157</v>
      </c>
      <c r="K68" s="316"/>
      <c r="L68" s="317"/>
      <c r="M68" s="316"/>
      <c r="N68" s="316"/>
      <c r="O68" s="317"/>
      <c r="P68" s="316"/>
      <c r="Q68" s="316"/>
      <c r="R68" s="317"/>
      <c r="S68" s="316"/>
      <c r="T68" s="316"/>
      <c r="U68" s="317"/>
      <c r="V68" s="318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19"/>
      <c r="E71" s="319"/>
      <c r="F71" s="320"/>
      <c r="G71" s="319"/>
      <c r="H71" s="319"/>
      <c r="I71" s="320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1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22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22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22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19" t="s">
        <v>158</v>
      </c>
      <c r="C77" s="156"/>
      <c r="D77" s="322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159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160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167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168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169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170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19" t="s">
        <v>161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162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23" t="s">
        <v>163</v>
      </c>
      <c r="C87" s="323"/>
      <c r="D87" s="324"/>
      <c r="E87" s="324"/>
      <c r="F87" s="324"/>
      <c r="G87" s="324"/>
      <c r="H87" s="32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24" t="s">
        <v>164</v>
      </c>
      <c r="C88" s="322"/>
      <c r="D88" s="324"/>
      <c r="E88" s="324"/>
      <c r="F88" s="324"/>
      <c r="G88" s="324"/>
      <c r="H88" s="32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165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166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U4:AC4"/>
    <mergeCell ref="E6:G6"/>
    <mergeCell ref="L6:N6"/>
    <mergeCell ref="S6:U6"/>
    <mergeCell ref="Y6:AA6"/>
    <mergeCell ref="T8:U8"/>
    <mergeCell ref="V8:AD8"/>
    <mergeCell ref="T9:U9"/>
    <mergeCell ref="T10:U10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abasm</cp:lastModifiedBy>
  <cp:lastPrinted>2021-11-28T14:22:24Z</cp:lastPrinted>
  <dcterms:created xsi:type="dcterms:W3CDTF">2021-11-17T10:56:44Z</dcterms:created>
  <dcterms:modified xsi:type="dcterms:W3CDTF">2022-03-27T15:28:17Z</dcterms:modified>
</cp:coreProperties>
</file>